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526"/>
  <workbookPr autoCompressPictures="0"/>
  <bookViews>
    <workbookView xWindow="17120" yWindow="1460" windowWidth="21000" windowHeight="20460"/>
  </bookViews>
  <sheets>
    <sheet name="Analysis 1" sheetId="2" r:id="rId1"/>
  </sheets>
  <definedNames>
    <definedName name="aa" localSheetId="0">'Analysis 1'!$H$40</definedName>
    <definedName name="bb" localSheetId="0">'Analysis 1'!$I$40</definedName>
    <definedName name="cc" localSheetId="0">'Analysis 1'!$H$43</definedName>
    <definedName name="cgf" localSheetId="0">'Analysis 1'!$I$28</definedName>
    <definedName name="ci" localSheetId="0">'Analysis 1'!$G$46</definedName>
    <definedName name="dd" localSheetId="0">'Analysis 1'!$I$43</definedName>
    <definedName name="egf" localSheetId="0">'Analysis 1'!$H$28</definedName>
    <definedName name="nlrat" localSheetId="0">'Analysis 1'!$M$53</definedName>
    <definedName name="plrat" localSheetId="0">'Analysis 1'!$M$50</definedName>
    <definedName name="pop" localSheetId="0">'Analysis 1'!$H$12</definedName>
    <definedName name="_xlnm.Print_Area" localSheetId="0">'Analysis 1'!$A$1:$AK$58</definedName>
    <definedName name="zscore" localSheetId="0">'Analysis 1'!$P$46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E29" i="2" l="1"/>
  <c r="AE28" i="2"/>
  <c r="AE27" i="2"/>
  <c r="AE26" i="2"/>
  <c r="AE25" i="2"/>
  <c r="AE24" i="2"/>
  <c r="AE23" i="2"/>
  <c r="AE22" i="2"/>
  <c r="AE21" i="2"/>
  <c r="AE20" i="2"/>
  <c r="AE19" i="2"/>
  <c r="AE18" i="2"/>
  <c r="AE17" i="2"/>
  <c r="AE16" i="2"/>
  <c r="AE15" i="2"/>
  <c r="AE14" i="2"/>
  <c r="AE13" i="2"/>
  <c r="AB31" i="2"/>
  <c r="AB30" i="2"/>
  <c r="AB29" i="2"/>
  <c r="AB28" i="2"/>
  <c r="AB27" i="2"/>
  <c r="AB26" i="2"/>
  <c r="AB25" i="2"/>
  <c r="AB24" i="2"/>
  <c r="AB23" i="2"/>
  <c r="AB22" i="2"/>
  <c r="AB21" i="2"/>
  <c r="AB20" i="2"/>
  <c r="AB19" i="2"/>
  <c r="AB18" i="2"/>
  <c r="AB17" i="2"/>
  <c r="AB16" i="2"/>
  <c r="AB15" i="2"/>
  <c r="AB14" i="2"/>
  <c r="AB13" i="2"/>
  <c r="Y29" i="2"/>
  <c r="Y28" i="2"/>
  <c r="Y27" i="2"/>
  <c r="Y26" i="2"/>
  <c r="Y25" i="2"/>
  <c r="Y24" i="2"/>
  <c r="Y23" i="2"/>
  <c r="Y22" i="2"/>
  <c r="Y21" i="2"/>
  <c r="Y20" i="2"/>
  <c r="Y19" i="2"/>
  <c r="Y18" i="2"/>
  <c r="Y17" i="2"/>
  <c r="Y16" i="2"/>
  <c r="Y15" i="2"/>
  <c r="Y14" i="2"/>
  <c r="Y13" i="2"/>
  <c r="M53" i="2"/>
  <c r="AH5" i="2"/>
  <c r="AH17" i="2"/>
  <c r="M50" i="2"/>
  <c r="AE5" i="2"/>
  <c r="AH14" i="2"/>
  <c r="P56" i="2"/>
  <c r="P53" i="2"/>
  <c r="S53" i="2"/>
  <c r="S50" i="2"/>
  <c r="P50" i="2"/>
  <c r="J56" i="2"/>
  <c r="G56" i="2"/>
  <c r="AB5" i="2"/>
  <c r="J53" i="2"/>
  <c r="G53" i="2"/>
  <c r="J50" i="2"/>
  <c r="G50" i="2"/>
  <c r="P46" i="2"/>
  <c r="R54" i="2"/>
  <c r="R48" i="2"/>
  <c r="O48" i="2"/>
  <c r="C49" i="2"/>
  <c r="H34" i="2"/>
  <c r="D57" i="2"/>
  <c r="D54" i="2"/>
  <c r="D51" i="2"/>
  <c r="AH16" i="2"/>
  <c r="AH13" i="2"/>
  <c r="AG12" i="2"/>
  <c r="AD12" i="2"/>
  <c r="T51" i="2"/>
  <c r="H57" i="2"/>
  <c r="N51" i="2"/>
  <c r="L54" i="2"/>
  <c r="H51" i="2"/>
  <c r="Q51" i="2"/>
  <c r="K54" i="2"/>
  <c r="F51" i="2"/>
  <c r="F57" i="2"/>
  <c r="I54" i="2"/>
  <c r="O51" i="2"/>
  <c r="R51" i="2"/>
  <c r="L51" i="2"/>
  <c r="N54" i="2"/>
  <c r="H54" i="2"/>
  <c r="K51" i="2"/>
  <c r="K57" i="2"/>
  <c r="Q54" i="2"/>
  <c r="T54" i="2"/>
  <c r="S54" i="2"/>
  <c r="F54" i="2"/>
  <c r="I51" i="2"/>
  <c r="I57" i="2"/>
  <c r="O54" i="2"/>
  <c r="P51" i="2"/>
  <c r="AH9" i="2"/>
  <c r="AH18" i="2"/>
  <c r="AB9" i="2"/>
  <c r="AH15" i="2"/>
  <c r="S51" i="2"/>
  <c r="P54" i="2"/>
</calcChain>
</file>

<file path=xl/comments1.xml><?xml version="1.0" encoding="utf-8"?>
<comments xmlns="http://schemas.openxmlformats.org/spreadsheetml/2006/main">
  <authors>
    <author>FMHS</author>
    <author>Uni user</author>
    <author>Rod Jackson</author>
  </authors>
  <commentList>
    <comment ref="L47" authorId="0">
      <text>
        <r>
          <rPr>
            <b/>
            <sz val="10"/>
            <color indexed="81"/>
            <rFont val="Tahoma"/>
            <family val="2"/>
          </rPr>
          <t xml:space="preserve">Likelihood Ratios (LR) </t>
        </r>
        <r>
          <rPr>
            <sz val="10"/>
            <color indexed="81"/>
            <rFont val="Tahoma"/>
            <family val="2"/>
          </rPr>
          <t>are similar to relative risks (i.e. they are risk ratios). 
There are two LRs - one for a positive DT and one for a negative DT.  If there is no association between the DT result and the RS result, the LR will be 1.</t>
        </r>
      </text>
    </comment>
    <comment ref="O47" authorId="0">
      <text>
        <r>
          <rPr>
            <b/>
            <sz val="10"/>
            <color indexed="81"/>
            <rFont val="Tahoma"/>
            <family val="2"/>
          </rPr>
          <t xml:space="preserve">Post-test predictive values
aka Post-test probabilities
</t>
        </r>
        <r>
          <rPr>
            <sz val="10"/>
            <color indexed="81"/>
            <rFont val="Tahoma"/>
            <family val="2"/>
          </rPr>
          <t xml:space="preserve">is the probability of condition given a specified diagnostic test result.
</t>
        </r>
      </text>
    </comment>
    <comment ref="F49" authorId="1">
      <text>
        <r>
          <rPr>
            <b/>
            <sz val="10"/>
            <color indexed="81"/>
            <rFont val="Tahoma"/>
            <family val="2"/>
          </rPr>
          <t>Sensitivity</t>
        </r>
        <r>
          <rPr>
            <sz val="10"/>
            <color indexed="81"/>
            <rFont val="Tahoma"/>
            <family val="2"/>
          </rPr>
          <t xml:space="preserve"> is the proportion of those with target disorder who have a positive test, ie proportion of </t>
        </r>
        <r>
          <rPr>
            <b/>
            <sz val="10"/>
            <color indexed="81"/>
            <rFont val="Tahoma"/>
            <family val="2"/>
          </rPr>
          <t xml:space="preserve">true positives, </t>
        </r>
        <r>
          <rPr>
            <sz val="10"/>
            <color indexed="81"/>
            <rFont val="Tahoma"/>
            <family val="2"/>
          </rPr>
          <t>i.e. likelihood of a positive test given RS positive</t>
        </r>
      </text>
    </comment>
    <comment ref="I49" authorId="1">
      <text>
        <r>
          <rPr>
            <b/>
            <sz val="10"/>
            <color indexed="81"/>
            <rFont val="Tahoma"/>
            <family val="2"/>
          </rPr>
          <t>1-Specificity</t>
        </r>
        <r>
          <rPr>
            <sz val="10"/>
            <color indexed="81"/>
            <rFont val="Tahoma"/>
            <family val="2"/>
          </rPr>
          <t xml:space="preserve"> is the proportion of those without target disorder who have a positive test, ie the proportion of </t>
        </r>
        <r>
          <rPr>
            <b/>
            <sz val="10"/>
            <color indexed="81"/>
            <rFont val="Tahoma"/>
            <family val="2"/>
          </rPr>
          <t>false positives,</t>
        </r>
        <r>
          <rPr>
            <sz val="10"/>
            <color indexed="81"/>
            <rFont val="Tahoma"/>
            <family val="2"/>
          </rPr>
          <t xml:space="preserve"> i.e. likelihood of a positive test given RS negative</t>
        </r>
        <r>
          <rPr>
            <sz val="8"/>
            <color indexed="81"/>
            <rFont val="Tahoma"/>
            <family val="2"/>
          </rPr>
          <t xml:space="preserve">
 </t>
        </r>
      </text>
    </comment>
    <comment ref="L49" authorId="0">
      <text>
        <r>
          <rPr>
            <b/>
            <sz val="10"/>
            <color indexed="81"/>
            <rFont val="Tahoma"/>
            <family val="2"/>
          </rPr>
          <t xml:space="preserve">Positive LR (i.e. for positive DT result)
</t>
        </r>
        <r>
          <rPr>
            <sz val="10"/>
            <color indexed="81"/>
            <rFont val="Tahoma"/>
            <family val="2"/>
          </rPr>
          <t>If LR &gt; 1, participants with positive DT are more likely to be RS+ve than RS-ve. The higher the +LR the better the DT.
The +ve LR = likelihood of a +ve test given RS+ve / likelihood of a +ve test given RS-ve</t>
        </r>
      </text>
    </comment>
    <comment ref="O49" authorId="0">
      <text>
        <r>
          <rPr>
            <b/>
            <sz val="10"/>
            <color indexed="81"/>
            <rFont val="Tahoma"/>
            <family val="2"/>
          </rPr>
          <t xml:space="preserve">Positive predictive value </t>
        </r>
        <r>
          <rPr>
            <sz val="10"/>
            <color indexed="81"/>
            <rFont val="Tahoma"/>
            <family val="2"/>
          </rPr>
          <t xml:space="preserve">(aka post-test probability of disease, given +ve DT)
</t>
        </r>
        <r>
          <rPr>
            <b/>
            <sz val="10"/>
            <color indexed="81"/>
            <rFont val="Tahoma"/>
            <family val="2"/>
          </rPr>
          <t xml:space="preserve">
= </t>
        </r>
        <r>
          <rPr>
            <sz val="10"/>
            <color indexed="81"/>
            <rFont val="Tahoma"/>
            <family val="2"/>
          </rPr>
          <t>for those testing positive on DT, the probability of RS+ve</t>
        </r>
        <r>
          <rPr>
            <sz val="10"/>
            <color indexed="81"/>
            <rFont val="Tahoma"/>
            <family val="2"/>
          </rPr>
          <t xml:space="preserve">
</t>
        </r>
      </text>
    </comment>
    <comment ref="R49" authorId="0">
      <text>
        <r>
          <rPr>
            <b/>
            <sz val="10"/>
            <color indexed="81"/>
            <rFont val="Tahoma"/>
            <family val="2"/>
          </rPr>
          <t>Test +ve, RS -ve</t>
        </r>
        <r>
          <rPr>
            <sz val="10"/>
            <color indexed="81"/>
            <rFont val="Tahoma"/>
            <family val="2"/>
          </rPr>
          <t xml:space="preserve">
probability that someone with a  positive test is RS-ve.</t>
        </r>
      </text>
    </comment>
    <comment ref="F52" authorId="1">
      <text>
        <r>
          <rPr>
            <b/>
            <sz val="10"/>
            <color indexed="81"/>
            <rFont val="Tahoma"/>
            <family val="2"/>
          </rPr>
          <t>1-Sensitivity</t>
        </r>
        <r>
          <rPr>
            <sz val="10"/>
            <color indexed="81"/>
            <rFont val="Tahoma"/>
            <family val="2"/>
          </rPr>
          <t xml:space="preserve"> is the proportion of those with target disorder who have a negative test, ie proportion of</t>
        </r>
        <r>
          <rPr>
            <b/>
            <sz val="10"/>
            <color indexed="81"/>
            <rFont val="Tahoma"/>
            <family val="2"/>
          </rPr>
          <t xml:space="preserve"> false negatives</t>
        </r>
        <r>
          <rPr>
            <sz val="10"/>
            <color indexed="81"/>
            <rFont val="Tahoma"/>
            <family val="2"/>
          </rPr>
          <t>,</t>
        </r>
        <r>
          <rPr>
            <b/>
            <sz val="10"/>
            <color indexed="81"/>
            <rFont val="Tahoma"/>
            <family val="2"/>
          </rPr>
          <t xml:space="preserve"> </t>
        </r>
        <r>
          <rPr>
            <sz val="10"/>
            <color indexed="81"/>
            <rFont val="Tahoma"/>
            <family val="2"/>
          </rPr>
          <t>i.e. likelihood of a negative test given RS positive</t>
        </r>
      </text>
    </comment>
    <comment ref="I52" authorId="1">
      <text>
        <r>
          <rPr>
            <b/>
            <sz val="10"/>
            <color indexed="81"/>
            <rFont val="Tahoma"/>
            <family val="2"/>
          </rPr>
          <t xml:space="preserve">Specificity </t>
        </r>
        <r>
          <rPr>
            <sz val="10"/>
            <color indexed="81"/>
            <rFont val="Tahoma"/>
            <family val="2"/>
          </rPr>
          <t xml:space="preserve">is the proportion of those without target disorder who have a negative test, ie proportion of </t>
        </r>
        <r>
          <rPr>
            <b/>
            <sz val="10"/>
            <color indexed="81"/>
            <rFont val="Tahoma"/>
            <family val="2"/>
          </rPr>
          <t>true negatives</t>
        </r>
        <r>
          <rPr>
            <sz val="10"/>
            <color indexed="81"/>
            <rFont val="Tahoma"/>
            <family val="2"/>
          </rPr>
          <t>, i.e. likelihood of a negative test given RS negative.</t>
        </r>
        <r>
          <rPr>
            <sz val="8"/>
            <color indexed="81"/>
            <rFont val="Tahoma"/>
            <family val="2"/>
          </rPr>
          <t xml:space="preserve">
</t>
        </r>
      </text>
    </comment>
    <comment ref="L52" authorId="0">
      <text>
        <r>
          <rPr>
            <b/>
            <sz val="10"/>
            <color indexed="81"/>
            <rFont val="Tahoma"/>
            <family val="2"/>
          </rPr>
          <t xml:space="preserve">Negative LR (i.e. for negative DT result)
</t>
        </r>
        <r>
          <rPr>
            <sz val="10"/>
            <color indexed="81"/>
            <rFont val="Tahoma"/>
            <family val="2"/>
          </rPr>
          <t>If LR &lt; 1, participants with negative DT are more likely to be RS-ve than RS+ve. The smaller the -LR the better the DT.
The -ve LR = likelihood of a -ve test given RS+ve / likelihood of a -ve test given RS-ve</t>
        </r>
      </text>
    </comment>
    <comment ref="O52" authorId="0">
      <text>
        <r>
          <rPr>
            <b/>
            <sz val="10"/>
            <color indexed="81"/>
            <rFont val="Tahoma"/>
            <family val="2"/>
          </rPr>
          <t>Test -ve, RS +ve</t>
        </r>
        <r>
          <rPr>
            <sz val="10"/>
            <color indexed="81"/>
            <rFont val="Tahoma"/>
            <family val="2"/>
          </rPr>
          <t xml:space="preserve">
Probability that someone with a negative test is RS +ve</t>
        </r>
      </text>
    </comment>
    <comment ref="R52" authorId="0">
      <text>
        <r>
          <rPr>
            <b/>
            <sz val="10"/>
            <color indexed="81"/>
            <rFont val="Tahoma"/>
            <family val="2"/>
          </rPr>
          <t xml:space="preserve">Negative Predictive Value
</t>
        </r>
        <r>
          <rPr>
            <sz val="10"/>
            <color indexed="81"/>
            <rFont val="Tahoma"/>
            <family val="2"/>
          </rPr>
          <t xml:space="preserve">for negative DT, the probability of RS-ve
</t>
        </r>
      </text>
    </comment>
    <comment ref="F55" authorId="2">
      <text>
        <r>
          <rPr>
            <b/>
            <sz val="9"/>
            <color indexed="81"/>
            <rFont val="Geneva"/>
          </rPr>
          <t xml:space="preserve">Prevalence </t>
        </r>
        <r>
          <rPr>
            <sz val="9"/>
            <color indexed="81"/>
            <rFont val="Geneva"/>
          </rPr>
          <t xml:space="preserve">of target disorder (aka </t>
        </r>
        <r>
          <rPr>
            <b/>
            <sz val="9"/>
            <color indexed="81"/>
            <rFont val="Geneva"/>
          </rPr>
          <t>pre-test probability</t>
        </r>
        <r>
          <rPr>
            <sz val="9"/>
            <color indexed="81"/>
            <rFont val="Geneva"/>
          </rPr>
          <t xml:space="preserve">) in study population. It is the number with target disorder divided by participant population).
</t>
        </r>
      </text>
    </comment>
    <comment ref="I55" authorId="2">
      <text>
        <r>
          <rPr>
            <b/>
            <sz val="9"/>
            <color indexed="81"/>
            <rFont val="Geneva"/>
          </rPr>
          <t xml:space="preserve">Prevalence </t>
        </r>
        <r>
          <rPr>
            <sz val="9"/>
            <color indexed="81"/>
            <rFont val="Geneva"/>
          </rPr>
          <t xml:space="preserve">of </t>
        </r>
        <r>
          <rPr>
            <b/>
            <sz val="9"/>
            <color indexed="81"/>
            <rFont val="Geneva"/>
          </rPr>
          <t>not</t>
        </r>
        <r>
          <rPr>
            <sz val="9"/>
            <color indexed="81"/>
            <rFont val="Geneva"/>
          </rPr>
          <t xml:space="preserve"> having target disorder (based on reference standard) in study population.
</t>
        </r>
      </text>
    </comment>
    <comment ref="O55" authorId="2">
      <text>
        <r>
          <rPr>
            <b/>
            <sz val="9"/>
            <color indexed="81"/>
            <rFont val="Geneva"/>
          </rPr>
          <t xml:space="preserve">Test accuracy </t>
        </r>
        <r>
          <rPr>
            <sz val="9"/>
            <color indexed="81"/>
            <rFont val="Geneva"/>
          </rPr>
          <t>is the proportion of all who had both RS &amp; DT who were correctly diagnosed by the DT.</t>
        </r>
      </text>
    </comment>
  </commentList>
</comments>
</file>

<file path=xl/sharedStrings.xml><?xml version="1.0" encoding="utf-8"?>
<sst xmlns="http://schemas.openxmlformats.org/spreadsheetml/2006/main" count="95" uniqueCount="85">
  <si>
    <t>Assessed by:</t>
  </si>
  <si>
    <t>Assessed when:</t>
  </si>
  <si>
    <t>Publication details:</t>
  </si>
  <si>
    <t>% confidence intervals</t>
  </si>
  <si>
    <t>Comparison Group</t>
  </si>
  <si>
    <t>(EG)</t>
  </si>
  <si>
    <t>(CG)</t>
  </si>
  <si>
    <r>
      <t>O</t>
    </r>
    <r>
      <rPr>
        <sz val="10"/>
        <rFont val="Arial"/>
        <family val="2"/>
      </rPr>
      <t>utcomes</t>
    </r>
  </si>
  <si>
    <t>Study Setting</t>
  </si>
  <si>
    <t>Eligible population</t>
  </si>
  <si>
    <t>Participant</t>
  </si>
  <si>
    <t>a</t>
  </si>
  <si>
    <t>b</t>
  </si>
  <si>
    <t>c</t>
  </si>
  <si>
    <t>d</t>
  </si>
  <si>
    <t xml:space="preserve"> (EGO/CGO)</t>
  </si>
  <si>
    <t xml:space="preserve">Please contribute your comments and suggestions on this form to: </t>
  </si>
  <si>
    <t>rt.jackson@auckland.ac.nz</t>
  </si>
  <si>
    <t>to</t>
  </si>
  <si>
    <r>
      <rPr>
        <b/>
        <sz val="12"/>
        <rFont val="Arial"/>
        <family val="2"/>
      </rPr>
      <t>P</t>
    </r>
    <r>
      <rPr>
        <sz val="10"/>
        <rFont val="Arial"/>
        <family val="2"/>
      </rPr>
      <t>opulations</t>
    </r>
  </si>
  <si>
    <r>
      <t>E</t>
    </r>
    <r>
      <rPr>
        <sz val="10"/>
        <rFont val="Arial"/>
        <family val="2"/>
      </rPr>
      <t xml:space="preserve">xposure &amp; </t>
    </r>
    <r>
      <rPr>
        <b/>
        <sz val="12"/>
        <rFont val="Arial"/>
        <family val="2"/>
      </rPr>
      <t>C</t>
    </r>
    <r>
      <rPr>
        <sz val="10"/>
        <rFont val="Arial"/>
        <family val="2"/>
      </rPr>
      <t>omparison</t>
    </r>
  </si>
  <si>
    <r>
      <t>C</t>
    </r>
    <r>
      <rPr>
        <sz val="10"/>
        <rFont val="Arial"/>
        <family val="2"/>
      </rPr>
      <t>alculated in GATE Frame</t>
    </r>
  </si>
  <si>
    <t>Population</t>
  </si>
  <si>
    <r>
      <t>Notes for use</t>
    </r>
    <r>
      <rPr>
        <sz val="11"/>
        <color theme="1"/>
        <rFont val="Calibri"/>
        <family val="2"/>
        <scheme val="minor"/>
      </rPr>
      <t xml:space="preserve">:  </t>
    </r>
  </si>
  <si>
    <t>Exposure Group</t>
  </si>
  <si>
    <t>Standard (RS) &amp; Diagnostic Test (DT)</t>
  </si>
  <si>
    <t>RS+ve</t>
  </si>
  <si>
    <t>RS-ve</t>
  </si>
  <si>
    <t>Both RS &amp; DT done</t>
  </si>
  <si>
    <t>Either RS or DT not done</t>
  </si>
  <si>
    <t>Percentage not receiving either RS or DT:</t>
  </si>
  <si>
    <t>Diagnostic test (DT):</t>
  </si>
  <si>
    <t>TP</t>
  </si>
  <si>
    <t>FP</t>
  </si>
  <si>
    <t>TN</t>
  </si>
  <si>
    <t>FN</t>
  </si>
  <si>
    <t>Test positive</t>
  </si>
  <si>
    <t>Test negative</t>
  </si>
  <si>
    <t>Results with</t>
  </si>
  <si>
    <t>Reference standard (RS)</t>
  </si>
  <si>
    <t>Likelihood ratios</t>
  </si>
  <si>
    <t>Post-test probabilities (%)</t>
  </si>
  <si>
    <t>positive (EGO)</t>
  </si>
  <si>
    <t>negative (CGO)</t>
  </si>
  <si>
    <t>Sensitivity</t>
  </si>
  <si>
    <t>1-Specificity</t>
  </si>
  <si>
    <t>Positive LR</t>
  </si>
  <si>
    <t>Positive PV</t>
  </si>
  <si>
    <t>Test +ve, RS -ve</t>
  </si>
  <si>
    <t>Negative PV</t>
  </si>
  <si>
    <t>Test -ve, RS +ve</t>
  </si>
  <si>
    <t>Negative LR</t>
  </si>
  <si>
    <t>Specificity</t>
  </si>
  <si>
    <t>1-Sensitivity</t>
  </si>
  <si>
    <t>Prevalence</t>
  </si>
  <si>
    <t>1-Prevalence</t>
  </si>
  <si>
    <t>Test accuracy</t>
  </si>
  <si>
    <t>Positive</t>
  </si>
  <si>
    <t>Negative</t>
  </si>
  <si>
    <t>Pre-test probabilities (%)</t>
  </si>
  <si>
    <t>The form calculates results and displays them in the green areas below.</t>
  </si>
  <si>
    <t>Z-score:</t>
  </si>
  <si>
    <t xml:space="preserve">GATE Calculator - Diagnostic Accuracy Studies </t>
  </si>
  <si>
    <r>
      <t xml:space="preserve">a. "hang" the study numbers on the </t>
    </r>
    <r>
      <rPr>
        <b/>
        <sz val="12"/>
        <color rgb="FFFFFF99"/>
        <rFont val="Arial"/>
        <family val="2"/>
      </rPr>
      <t>GATE</t>
    </r>
    <r>
      <rPr>
        <b/>
        <sz val="12"/>
        <color indexed="9"/>
        <rFont val="Arial"/>
        <family val="2"/>
      </rPr>
      <t xml:space="preserve"> (</t>
    </r>
    <r>
      <rPr>
        <b/>
        <sz val="12"/>
        <color rgb="FFFFFF99"/>
        <rFont val="Arial"/>
        <family val="2"/>
      </rPr>
      <t>G</t>
    </r>
    <r>
      <rPr>
        <b/>
        <sz val="12"/>
        <color indexed="9"/>
        <rFont val="Arial"/>
        <family val="2"/>
      </rPr>
      <t xml:space="preserve">raphic </t>
    </r>
    <r>
      <rPr>
        <b/>
        <sz val="12"/>
        <color rgb="FFFFFF99"/>
        <rFont val="Arial"/>
        <family val="2"/>
      </rPr>
      <t>A</t>
    </r>
    <r>
      <rPr>
        <b/>
        <sz val="12"/>
        <color indexed="9"/>
        <rFont val="Arial"/>
        <family val="2"/>
      </rPr>
      <t xml:space="preserve">ppraisal </t>
    </r>
    <r>
      <rPr>
        <b/>
        <sz val="12"/>
        <color rgb="FFFFFF99"/>
        <rFont val="Arial"/>
        <family val="2"/>
      </rPr>
      <t>T</t>
    </r>
    <r>
      <rPr>
        <b/>
        <sz val="12"/>
        <color indexed="9"/>
        <rFont val="Arial"/>
        <family val="2"/>
      </rPr>
      <t xml:space="preserve">ool for </t>
    </r>
    <r>
      <rPr>
        <b/>
        <sz val="12"/>
        <color rgb="FFFFFF99"/>
        <rFont val="Arial"/>
        <family val="2"/>
      </rPr>
      <t>E</t>
    </r>
    <r>
      <rPr>
        <b/>
        <sz val="12"/>
        <color indexed="9"/>
        <rFont val="Arial"/>
        <family val="2"/>
      </rPr>
      <t xml:space="preserve">pidemiology) Frame </t>
    </r>
  </si>
  <si>
    <t>Enter numbers in yellow areas. Help notes in moveable boxes.</t>
  </si>
  <si>
    <t xml:space="preserve">Enter descriptions in pink areas </t>
  </si>
  <si>
    <t>Participant subgroup</t>
  </si>
  <si>
    <t>Target disorder:</t>
  </si>
  <si>
    <t>Numbers allocated to Reference ("Gold")</t>
  </si>
  <si>
    <t>Use together with page 2 of the GATE CAT Dagnostic Studies form</t>
  </si>
  <si>
    <r>
      <t xml:space="preserve">Step 3: Appraise study using </t>
    </r>
    <r>
      <rPr>
        <b/>
        <sz val="12"/>
        <color rgb="FFFFFF99"/>
        <rFont val="Arial"/>
        <family val="2"/>
      </rPr>
      <t>PECOT</t>
    </r>
    <r>
      <rPr>
        <b/>
        <sz val="12"/>
        <color indexed="9"/>
        <rFont val="Arial"/>
        <family val="2"/>
      </rPr>
      <t xml:space="preserve"> framework (fill in this Calculator in conjunction with appropriate GATE CAT)</t>
    </r>
  </si>
  <si>
    <t>bottom</t>
  </si>
  <si>
    <t>top</t>
  </si>
  <si>
    <t>Neg LR:</t>
  </si>
  <si>
    <t>Pos LR:</t>
  </si>
  <si>
    <t>Pre-test probability:</t>
  </si>
  <si>
    <t>GATE values:</t>
  </si>
  <si>
    <t xml:space="preserve">If you want to try using other values, type them in the yellow cells below.  </t>
  </si>
  <si>
    <t>To return to using the GATE values, blank out the yellow cells</t>
  </si>
  <si>
    <t xml:space="preserve">By default the nomogram uses the values from the GATE calculator.  </t>
  </si>
  <si>
    <t>Alternate values:</t>
  </si>
  <si>
    <t>Post-test probabilities:</t>
  </si>
  <si>
    <t>When test positive:</t>
  </si>
  <si>
    <t>When test negative:</t>
  </si>
  <si>
    <t>If performing multiple analyses (e.g. reporting on more than one test) complete this sheet, then make copies of sheet (in Edit menu, select 'Move or copy sheet' then, select text (move to end), then  click box 'Create a copy' and click ok. A tab for the new sheet is shown on the bottom left of the screen.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</si>
</sst>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
    <numFmt numFmtId="167" formatCode="0.0%"/>
  </numFmts>
  <fonts count="36" x14ac:knownFonts="1">
    <font>
      <sz val="11"/>
      <color theme="1"/>
      <name val="Calibri"/>
      <family val="2"/>
      <scheme val="minor"/>
    </font>
    <font>
      <b/>
      <sz val="14"/>
      <color indexed="9"/>
      <name val="Arial"/>
      <family val="2"/>
    </font>
    <font>
      <b/>
      <sz val="16"/>
      <color indexed="43"/>
      <name val="Arial"/>
      <family val="2"/>
    </font>
    <font>
      <b/>
      <sz val="12"/>
      <color indexed="9"/>
      <name val="Arial"/>
      <family val="2"/>
    </font>
    <font>
      <b/>
      <sz val="10"/>
      <name val="Arial"/>
      <family val="2"/>
    </font>
    <font>
      <b/>
      <sz val="12"/>
      <name val="Arial"/>
      <family val="2"/>
    </font>
    <font>
      <b/>
      <sz val="10"/>
      <color indexed="9"/>
      <name val="Arial"/>
      <family val="2"/>
    </font>
    <font>
      <sz val="10"/>
      <color indexed="9"/>
      <name val="Arial"/>
      <family val="2"/>
    </font>
    <font>
      <b/>
      <sz val="11"/>
      <name val="Arial"/>
      <family val="2"/>
    </font>
    <font>
      <sz val="8"/>
      <color indexed="20"/>
      <name val="Arial"/>
      <family val="2"/>
    </font>
    <font>
      <sz val="8"/>
      <name val="Arial"/>
      <family val="2"/>
    </font>
    <font>
      <sz val="8"/>
      <color indexed="9"/>
      <name val="Arial"/>
      <family val="2"/>
    </font>
    <font>
      <u/>
      <sz val="10"/>
      <color indexed="12"/>
      <name val="Arial"/>
      <family val="2"/>
    </font>
    <font>
      <u/>
      <sz val="8"/>
      <color indexed="12"/>
      <name val="Arial"/>
      <family val="2"/>
    </font>
    <font>
      <sz val="10"/>
      <name val="Arial"/>
      <family val="2"/>
    </font>
    <font>
      <sz val="10"/>
      <color theme="1"/>
      <name val="Arial"/>
      <family val="2"/>
    </font>
    <font>
      <sz val="8"/>
      <color indexed="81"/>
      <name val="Tahoma"/>
      <family val="2"/>
    </font>
    <font>
      <sz val="10"/>
      <color indexed="81"/>
      <name val="Tahoma"/>
      <family val="2"/>
    </font>
    <font>
      <b/>
      <sz val="10"/>
      <color indexed="81"/>
      <name val="Tahoma"/>
      <family val="2"/>
    </font>
    <font>
      <b/>
      <sz val="14"/>
      <color indexed="9"/>
      <name val="Wingdings 3"/>
      <family val="1"/>
    </font>
    <font>
      <sz val="10"/>
      <name val="Arial"/>
      <family val="2"/>
    </font>
    <font>
      <sz val="10"/>
      <color indexed="10"/>
      <name val="Arial"/>
      <family val="2"/>
    </font>
    <font>
      <sz val="11"/>
      <color indexed="9"/>
      <name val="Arial"/>
      <family val="2"/>
    </font>
    <font>
      <sz val="9"/>
      <name val="Arial"/>
      <family val="2"/>
    </font>
    <font>
      <sz val="11"/>
      <color rgb="FF000000"/>
      <name val="Calibri"/>
      <family val="2"/>
      <scheme val="minor"/>
    </font>
    <font>
      <b/>
      <sz val="11"/>
      <color rgb="FFFF0000"/>
      <name val="Calibri"/>
      <family val="2"/>
      <scheme val="minor"/>
    </font>
    <font>
      <b/>
      <sz val="9"/>
      <color indexed="81"/>
      <name val="Geneva"/>
    </font>
    <font>
      <sz val="9"/>
      <color indexed="81"/>
      <name val="Geneva"/>
    </font>
    <font>
      <b/>
      <sz val="12"/>
      <color rgb="FFFFFF99"/>
      <name val="Arial"/>
      <family val="2"/>
    </font>
    <font>
      <sz val="11"/>
      <name val="Calibri"/>
      <family val="2"/>
      <scheme val="minor"/>
    </font>
    <font>
      <b/>
      <sz val="11"/>
      <color theme="1"/>
      <name val="Arial"/>
      <family val="2"/>
    </font>
    <font>
      <b/>
      <sz val="11"/>
      <color theme="1"/>
      <name val="Calibri"/>
      <family val="2"/>
      <scheme val="minor"/>
    </font>
    <font>
      <b/>
      <sz val="11"/>
      <color rgb="FF000000"/>
      <name val="Calibri"/>
      <family val="2"/>
      <scheme val="minor"/>
    </font>
    <font>
      <sz val="11"/>
      <color theme="0"/>
      <name val="Calibri"/>
      <family val="2"/>
      <scheme val="minor"/>
    </font>
    <font>
      <b/>
      <sz val="10"/>
      <color theme="0"/>
      <name val="Arial"/>
      <family val="2"/>
    </font>
    <font>
      <sz val="10"/>
      <color theme="0"/>
      <name val="Arial"/>
      <family val="2"/>
    </font>
  </fonts>
  <fills count="13">
    <fill>
      <patternFill patternType="none"/>
    </fill>
    <fill>
      <patternFill patternType="gray125"/>
    </fill>
    <fill>
      <patternFill patternType="solid">
        <fgColor indexed="23"/>
        <bgColor indexed="64"/>
      </patternFill>
    </fill>
    <fill>
      <patternFill patternType="solid">
        <fgColor indexed="31"/>
        <bgColor indexed="64"/>
      </patternFill>
    </fill>
    <fill>
      <patternFill patternType="solid">
        <fgColor indexed="43"/>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CCFFCC"/>
        <bgColor indexed="64"/>
      </patternFill>
    </fill>
  </fills>
  <borders count="32">
    <border>
      <left/>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right/>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dotted">
        <color auto="1"/>
      </bottom>
      <diagonal/>
    </border>
    <border>
      <left style="medium">
        <color auto="1"/>
      </left>
      <right/>
      <top style="dotted">
        <color auto="1"/>
      </top>
      <bottom/>
      <diagonal/>
    </border>
    <border>
      <left style="medium">
        <color auto="1"/>
      </left>
      <right/>
      <top/>
      <bottom style="dotted">
        <color auto="1"/>
      </bottom>
      <diagonal/>
    </border>
    <border>
      <left/>
      <right style="medium">
        <color auto="1"/>
      </right>
      <top style="dotted">
        <color auto="1"/>
      </top>
      <bottom/>
      <diagonal/>
    </border>
    <border>
      <left/>
      <right style="medium">
        <color auto="1"/>
      </right>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alignment vertical="top"/>
      <protection locked="0"/>
    </xf>
  </cellStyleXfs>
  <cellXfs count="295">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0" fillId="0" borderId="0" xfId="0" applyProtection="1"/>
    <xf numFmtId="0" fontId="3" fillId="2" borderId="4" xfId="0" applyFont="1" applyFill="1" applyBorder="1" applyAlignment="1" applyProtection="1">
      <alignment horizontal="left" vertical="center" indent="1"/>
    </xf>
    <xf numFmtId="0" fontId="3" fillId="2" borderId="0"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6"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vertical="center" wrapText="1"/>
    </xf>
    <xf numFmtId="0" fontId="6" fillId="0" borderId="0" xfId="0" applyFont="1" applyFill="1" applyBorder="1" applyAlignment="1" applyProtection="1">
      <alignment vertical="top" wrapText="1"/>
      <protection hidden="1"/>
    </xf>
    <xf numFmtId="0" fontId="4" fillId="0" borderId="0" xfId="0" applyFont="1" applyAlignment="1" applyProtection="1">
      <alignment horizontal="center"/>
    </xf>
    <xf numFmtId="0" fontId="7" fillId="0" borderId="0" xfId="0" applyFont="1" applyFill="1" applyBorder="1" applyAlignment="1" applyProtection="1">
      <alignment vertical="top" wrapText="1"/>
      <protection hidden="1"/>
    </xf>
    <xf numFmtId="0" fontId="4" fillId="0" borderId="0" xfId="0" applyFont="1" applyBorder="1" applyAlignment="1" applyProtection="1">
      <alignment vertical="top" wrapText="1"/>
    </xf>
    <xf numFmtId="0" fontId="4" fillId="0" borderId="0" xfId="0" applyFont="1" applyBorder="1" applyAlignment="1" applyProtection="1">
      <alignment horizontal="left"/>
    </xf>
    <xf numFmtId="0" fontId="4" fillId="0" borderId="0" xfId="0" applyFont="1" applyBorder="1" applyAlignment="1" applyProtection="1">
      <alignment horizontal="right"/>
    </xf>
    <xf numFmtId="0" fontId="4" fillId="0" borderId="14" xfId="0" applyFont="1" applyBorder="1" applyProtection="1"/>
    <xf numFmtId="0" fontId="0" fillId="0" borderId="15" xfId="0" applyBorder="1" applyProtection="1"/>
    <xf numFmtId="0" fontId="4" fillId="0" borderId="14" xfId="0" applyFont="1" applyBorder="1" applyAlignment="1" applyProtection="1">
      <alignment horizontal="center"/>
    </xf>
    <xf numFmtId="0" fontId="4" fillId="0" borderId="0" xfId="0" applyFont="1" applyProtection="1"/>
    <xf numFmtId="0" fontId="7" fillId="0" borderId="0" xfId="0" applyFont="1" applyProtection="1"/>
    <xf numFmtId="0" fontId="4" fillId="0" borderId="0" xfId="0" applyFont="1" applyBorder="1" applyProtection="1"/>
    <xf numFmtId="0" fontId="8" fillId="0" borderId="0" xfId="0" applyFont="1" applyBorder="1" applyAlignment="1" applyProtection="1">
      <alignment horizontal="left"/>
    </xf>
    <xf numFmtId="0" fontId="4" fillId="0" borderId="6" xfId="0" applyFont="1" applyFill="1" applyBorder="1" applyAlignment="1" applyProtection="1">
      <alignment horizontal="left"/>
    </xf>
    <xf numFmtId="0" fontId="9" fillId="0" borderId="0" xfId="0" applyFont="1" applyAlignment="1" applyProtection="1">
      <alignment horizontal="right"/>
    </xf>
    <xf numFmtId="0" fontId="9" fillId="0" borderId="0" xfId="0" applyFont="1" applyProtection="1"/>
    <xf numFmtId="0" fontId="9" fillId="0" borderId="0" xfId="0" applyFont="1" applyBorder="1" applyAlignment="1" applyProtection="1">
      <alignment horizontal="right"/>
    </xf>
    <xf numFmtId="0" fontId="9" fillId="0" borderId="0" xfId="0" applyFont="1" applyBorder="1" applyProtection="1"/>
    <xf numFmtId="0" fontId="7" fillId="0" borderId="14" xfId="0" applyFont="1" applyBorder="1" applyProtection="1"/>
    <xf numFmtId="0" fontId="5" fillId="3" borderId="29" xfId="0" applyFont="1" applyFill="1" applyBorder="1" applyAlignment="1" applyProtection="1">
      <alignment horizontal="left"/>
    </xf>
    <xf numFmtId="0" fontId="5" fillId="3" borderId="29" xfId="0" applyFont="1" applyFill="1" applyBorder="1" applyProtection="1"/>
    <xf numFmtId="0" fontId="7" fillId="0" borderId="4" xfId="0" applyFont="1" applyFill="1" applyBorder="1" applyAlignment="1" applyProtection="1"/>
    <xf numFmtId="0" fontId="7" fillId="0" borderId="0" xfId="0" applyFont="1" applyFill="1" applyBorder="1" applyAlignment="1" applyProtection="1"/>
    <xf numFmtId="2" fontId="7" fillId="0" borderId="6" xfId="0" applyNumberFormat="1" applyFont="1" applyFill="1" applyBorder="1" applyAlignment="1" applyProtection="1"/>
    <xf numFmtId="2" fontId="7" fillId="0" borderId="7" xfId="0" applyNumberFormat="1" applyFont="1" applyFill="1" applyBorder="1" applyAlignment="1" applyProtection="1"/>
    <xf numFmtId="0" fontId="14" fillId="0" borderId="0" xfId="0" applyFont="1" applyBorder="1" applyProtection="1"/>
    <xf numFmtId="0" fontId="15" fillId="0" borderId="0" xfId="0" applyFont="1" applyProtection="1"/>
    <xf numFmtId="0" fontId="15" fillId="0" borderId="7" xfId="0" applyFont="1" applyBorder="1" applyAlignment="1" applyProtection="1">
      <alignment horizontal="right"/>
    </xf>
    <xf numFmtId="0" fontId="15" fillId="0" borderId="0" xfId="0" applyFont="1" applyAlignment="1" applyProtection="1">
      <alignment horizontal="right"/>
    </xf>
    <xf numFmtId="0" fontId="14" fillId="0" borderId="0" xfId="0" applyFont="1" applyAlignment="1" applyProtection="1">
      <alignment horizontal="center"/>
    </xf>
    <xf numFmtId="0" fontId="19" fillId="2" borderId="3" xfId="0" applyFont="1" applyFill="1" applyBorder="1" applyAlignment="1" applyProtection="1">
      <alignment horizontal="right" vertical="center"/>
    </xf>
    <xf numFmtId="0" fontId="0" fillId="0" borderId="0" xfId="0" applyBorder="1" applyProtection="1"/>
    <xf numFmtId="0" fontId="0" fillId="0" borderId="0" xfId="0" applyFill="1" applyBorder="1" applyAlignment="1" applyProtection="1"/>
    <xf numFmtId="0" fontId="0" fillId="3" borderId="9" xfId="0"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0" fillId="0" borderId="0" xfId="0" applyFill="1" applyBorder="1" applyProtection="1"/>
    <xf numFmtId="0" fontId="0" fillId="0" borderId="0" xfId="0" applyAlignment="1" applyProtection="1">
      <alignment horizontal="left"/>
    </xf>
    <xf numFmtId="0" fontId="0" fillId="0" borderId="4" xfId="0" applyBorder="1" applyProtection="1"/>
    <xf numFmtId="0" fontId="20" fillId="0" borderId="0" xfId="0" applyFont="1" applyBorder="1" applyAlignment="1" applyProtection="1">
      <alignment horizontal="left" vertical="top" wrapText="1"/>
    </xf>
    <xf numFmtId="0" fontId="20" fillId="0" borderId="0" xfId="0" applyFont="1" applyFill="1" applyBorder="1" applyAlignment="1" applyProtection="1">
      <alignment vertical="top" wrapText="1"/>
    </xf>
    <xf numFmtId="0" fontId="0" fillId="0" borderId="0" xfId="0" applyBorder="1" applyAlignment="1" applyProtection="1">
      <alignment vertical="top" wrapText="1"/>
    </xf>
    <xf numFmtId="0" fontId="0" fillId="0" borderId="0" xfId="0" applyAlignment="1" applyProtection="1">
      <alignment vertical="top" wrapText="1"/>
    </xf>
    <xf numFmtId="0" fontId="0" fillId="0" borderId="6" xfId="0" applyBorder="1" applyProtection="1"/>
    <xf numFmtId="0" fontId="0" fillId="0" borderId="7" xfId="0" applyBorder="1" applyProtection="1"/>
    <xf numFmtId="0" fontId="4" fillId="0" borderId="18" xfId="0" applyFont="1" applyBorder="1" applyAlignment="1" applyProtection="1">
      <alignment vertical="center" wrapText="1"/>
    </xf>
    <xf numFmtId="0" fontId="4" fillId="0" borderId="19" xfId="0" applyFont="1" applyBorder="1" applyAlignment="1" applyProtection="1">
      <alignment vertical="center" wrapText="1"/>
    </xf>
    <xf numFmtId="0" fontId="0" fillId="0" borderId="19" xfId="0" applyBorder="1" applyProtection="1"/>
    <xf numFmtId="0" fontId="4" fillId="0" borderId="4" xfId="0" applyFont="1" applyBorder="1" applyAlignment="1" applyProtection="1">
      <alignment vertical="center" wrapText="1"/>
    </xf>
    <xf numFmtId="0" fontId="20" fillId="0" borderId="0" xfId="0" applyFont="1" applyProtection="1"/>
    <xf numFmtId="0" fontId="20" fillId="0" borderId="0" xfId="0" applyFont="1" applyFill="1" applyAlignment="1" applyProtection="1">
      <alignment horizontal="center" shrinkToFit="1"/>
    </xf>
    <xf numFmtId="0" fontId="20" fillId="0" borderId="0" xfId="0" applyFont="1" applyAlignment="1" applyProtection="1">
      <alignment horizontal="center"/>
    </xf>
    <xf numFmtId="0" fontId="20" fillId="0" borderId="0" xfId="0" applyFont="1" applyBorder="1" applyProtection="1"/>
    <xf numFmtId="0" fontId="0" fillId="0" borderId="15" xfId="0" applyFill="1" applyBorder="1" applyAlignment="1" applyProtection="1">
      <alignment shrinkToFit="1"/>
    </xf>
    <xf numFmtId="0" fontId="0" fillId="0" borderId="0" xfId="0" applyFill="1" applyBorder="1" applyAlignment="1" applyProtection="1">
      <alignment shrinkToFit="1"/>
    </xf>
    <xf numFmtId="0" fontId="0" fillId="0" borderId="14" xfId="0" applyBorder="1" applyProtection="1"/>
    <xf numFmtId="0" fontId="21" fillId="0" borderId="0" xfId="0" applyFont="1" applyBorder="1" applyProtection="1"/>
    <xf numFmtId="0" fontId="21" fillId="0" borderId="0" xfId="0" applyFont="1" applyBorder="1" applyAlignment="1" applyProtection="1">
      <alignment horizontal="right"/>
    </xf>
    <xf numFmtId="0" fontId="0" fillId="4" borderId="15" xfId="0" applyFill="1" applyBorder="1" applyAlignment="1" applyProtection="1">
      <alignment horizontal="center" shrinkToFit="1"/>
      <protection locked="0"/>
    </xf>
    <xf numFmtId="0" fontId="0" fillId="4" borderId="24" xfId="0" applyFill="1" applyBorder="1" applyAlignment="1" applyProtection="1">
      <alignment horizontal="center" shrinkToFit="1"/>
      <protection locked="0"/>
    </xf>
    <xf numFmtId="0" fontId="0" fillId="0" borderId="0" xfId="0" applyAlignment="1" applyProtection="1">
      <alignment horizontal="right"/>
    </xf>
    <xf numFmtId="0" fontId="0" fillId="0" borderId="25" xfId="0" applyBorder="1" applyProtection="1"/>
    <xf numFmtId="0" fontId="0" fillId="0" borderId="0" xfId="0" applyBorder="1" applyAlignment="1" applyProtection="1">
      <alignment horizontal="right"/>
    </xf>
    <xf numFmtId="9" fontId="20" fillId="0" borderId="15" xfId="0" applyNumberFormat="1" applyFont="1" applyFill="1" applyBorder="1" applyAlignment="1" applyProtection="1">
      <alignment shrinkToFit="1"/>
    </xf>
    <xf numFmtId="0" fontId="22" fillId="0" borderId="0" xfId="0" applyFont="1" applyBorder="1" applyAlignment="1" applyProtection="1">
      <alignment horizontal="left"/>
    </xf>
    <xf numFmtId="0" fontId="0" fillId="0" borderId="7" xfId="0" applyFill="1" applyBorder="1" applyProtection="1"/>
    <xf numFmtId="0" fontId="0" fillId="0" borderId="7" xfId="0" applyFill="1" applyBorder="1" applyAlignment="1" applyProtection="1">
      <alignment horizontal="left"/>
    </xf>
    <xf numFmtId="164" fontId="0" fillId="0" borderId="26" xfId="0" applyNumberFormat="1" applyFill="1" applyBorder="1" applyProtection="1"/>
    <xf numFmtId="164" fontId="0" fillId="0" borderId="7" xfId="0" applyNumberFormat="1" applyFill="1" applyBorder="1" applyProtection="1"/>
    <xf numFmtId="0" fontId="4" fillId="0" borderId="0" xfId="0" applyFont="1" applyAlignment="1" applyProtection="1">
      <alignment horizontal="right"/>
    </xf>
    <xf numFmtId="0" fontId="4" fillId="0" borderId="14" xfId="0" applyFont="1" applyFill="1" applyBorder="1" applyProtection="1"/>
    <xf numFmtId="0" fontId="0" fillId="0" borderId="0" xfId="0" applyFill="1" applyBorder="1" applyAlignment="1" applyProtection="1">
      <alignment wrapText="1"/>
    </xf>
    <xf numFmtId="0" fontId="20" fillId="0" borderId="0" xfId="0" applyFont="1" applyBorder="1" applyAlignment="1" applyProtection="1">
      <alignment horizontal="right"/>
    </xf>
    <xf numFmtId="0" fontId="0" fillId="4" borderId="22" xfId="0" applyFill="1" applyBorder="1" applyAlignment="1" applyProtection="1">
      <alignment horizontal="center" shrinkToFit="1"/>
      <protection locked="0"/>
    </xf>
    <xf numFmtId="0" fontId="0" fillId="4" borderId="14" xfId="0" applyFill="1" applyBorder="1" applyAlignment="1" applyProtection="1">
      <alignment horizontal="center" shrinkToFit="1"/>
      <protection locked="0"/>
    </xf>
    <xf numFmtId="0" fontId="0" fillId="0" borderId="23" xfId="0" applyBorder="1" applyProtection="1"/>
    <xf numFmtId="0" fontId="0" fillId="4" borderId="0" xfId="0" applyFill="1" applyAlignment="1" applyProtection="1">
      <alignment horizontal="center" shrinkToFit="1"/>
      <protection locked="0"/>
    </xf>
    <xf numFmtId="0" fontId="0" fillId="0" borderId="0" xfId="0" applyFill="1" applyProtection="1"/>
    <xf numFmtId="0" fontId="4" fillId="0" borderId="25" xfId="0" applyFont="1" applyBorder="1" applyAlignment="1" applyProtection="1">
      <alignment horizontal="right"/>
    </xf>
    <xf numFmtId="0" fontId="0" fillId="0" borderId="0" xfId="0" applyAlignment="1" applyProtection="1">
      <alignment wrapText="1"/>
    </xf>
    <xf numFmtId="0" fontId="20" fillId="3" borderId="28" xfId="0" applyFont="1" applyFill="1" applyBorder="1" applyAlignment="1" applyProtection="1">
      <alignment horizontal="center" vertical="center" textRotation="180"/>
    </xf>
    <xf numFmtId="0" fontId="20" fillId="3" borderId="29" xfId="0" applyFont="1" applyFill="1" applyBorder="1" applyProtection="1"/>
    <xf numFmtId="0" fontId="20" fillId="3" borderId="29" xfId="0" applyFont="1" applyFill="1" applyBorder="1" applyAlignment="1" applyProtection="1">
      <alignment horizontal="left" vertical="top"/>
    </xf>
    <xf numFmtId="0" fontId="20" fillId="3" borderId="30" xfId="0" applyFont="1" applyFill="1" applyBorder="1" applyProtection="1"/>
    <xf numFmtId="165" fontId="0" fillId="0" borderId="0" xfId="0" applyNumberFormat="1" applyAlignment="1" applyProtection="1">
      <alignment horizontal="right"/>
    </xf>
    <xf numFmtId="0" fontId="0" fillId="0" borderId="5" xfId="0" applyFill="1" applyBorder="1" applyProtection="1"/>
    <xf numFmtId="165" fontId="0" fillId="0" borderId="0" xfId="0" applyNumberFormat="1" applyFill="1" applyProtection="1"/>
    <xf numFmtId="165" fontId="7" fillId="0" borderId="7" xfId="0" applyNumberFormat="1" applyFont="1" applyFill="1" applyBorder="1" applyAlignment="1" applyProtection="1"/>
    <xf numFmtId="0" fontId="0" fillId="0" borderId="8" xfId="0" applyFill="1" applyBorder="1" applyAlignment="1" applyProtection="1">
      <alignment wrapText="1"/>
    </xf>
    <xf numFmtId="0" fontId="0" fillId="0" borderId="4" xfId="0" applyBorder="1" applyAlignment="1" applyProtection="1">
      <alignment wrapText="1"/>
    </xf>
    <xf numFmtId="0" fontId="0" fillId="0" borderId="5" xfId="0" applyBorder="1" applyProtection="1"/>
    <xf numFmtId="2" fontId="0" fillId="0" borderId="0" xfId="0" applyNumberFormat="1" applyAlignment="1" applyProtection="1">
      <alignment horizontal="right"/>
    </xf>
    <xf numFmtId="0" fontId="0" fillId="0" borderId="5" xfId="0" applyBorder="1" applyAlignment="1" applyProtection="1">
      <alignment horizontal="right"/>
    </xf>
    <xf numFmtId="165" fontId="7" fillId="0" borderId="4" xfId="0" applyNumberFormat="1" applyFont="1" applyFill="1" applyBorder="1" applyAlignment="1" applyProtection="1">
      <alignment horizontal="right" shrinkToFit="1"/>
    </xf>
    <xf numFmtId="2" fontId="20" fillId="6" borderId="0" xfId="0" applyNumberFormat="1" applyFont="1" applyFill="1" applyBorder="1" applyAlignment="1" applyProtection="1">
      <alignment horizontal="center" shrinkToFit="1"/>
    </xf>
    <xf numFmtId="165" fontId="7" fillId="0" borderId="0" xfId="0" applyNumberFormat="1" applyFont="1" applyFill="1" applyBorder="1" applyAlignment="1" applyProtection="1">
      <alignment horizontal="center" shrinkToFit="1"/>
    </xf>
    <xf numFmtId="9" fontId="20" fillId="6" borderId="0" xfId="0" applyNumberFormat="1" applyFont="1" applyFill="1" applyBorder="1" applyAlignment="1" applyProtection="1">
      <alignment horizontal="center"/>
    </xf>
    <xf numFmtId="0" fontId="7" fillId="0" borderId="4" xfId="0" applyFont="1" applyFill="1" applyBorder="1" applyAlignment="1" applyProtection="1">
      <alignment horizontal="right" shrinkToFit="1"/>
    </xf>
    <xf numFmtId="165" fontId="7" fillId="0" borderId="5" xfId="0" applyNumberFormat="1" applyFont="1" applyFill="1" applyBorder="1" applyAlignment="1" applyProtection="1">
      <alignment horizontal="center" shrinkToFit="1"/>
    </xf>
    <xf numFmtId="0" fontId="0" fillId="0" borderId="7" xfId="0" applyBorder="1" applyAlignment="1" applyProtection="1">
      <alignment horizontal="right"/>
    </xf>
    <xf numFmtId="0" fontId="0" fillId="0" borderId="8" xfId="0" applyBorder="1" applyAlignment="1" applyProtection="1">
      <alignment horizontal="right"/>
    </xf>
    <xf numFmtId="49" fontId="10" fillId="0" borderId="7" xfId="0" applyNumberFormat="1" applyFont="1" applyBorder="1" applyAlignment="1" applyProtection="1">
      <alignment horizontal="center" shrinkToFit="1"/>
    </xf>
    <xf numFmtId="167" fontId="10" fillId="6" borderId="7" xfId="0" applyNumberFormat="1" applyFont="1" applyFill="1" applyBorder="1" applyAlignment="1" applyProtection="1">
      <alignment horizontal="left" shrinkToFit="1"/>
    </xf>
    <xf numFmtId="167" fontId="10" fillId="6" borderId="6" xfId="0" applyNumberFormat="1" applyFont="1" applyFill="1" applyBorder="1" applyAlignment="1" applyProtection="1">
      <alignment horizontal="right" shrinkToFit="1"/>
    </xf>
    <xf numFmtId="9" fontId="10" fillId="6" borderId="8" xfId="0" applyNumberFormat="1" applyFont="1" applyFill="1" applyBorder="1" applyAlignment="1" applyProtection="1">
      <alignment horizontal="left"/>
    </xf>
    <xf numFmtId="9" fontId="10" fillId="6" borderId="6" xfId="0" applyNumberFormat="1" applyFont="1" applyFill="1" applyBorder="1" applyAlignment="1" applyProtection="1">
      <alignment horizontal="right" shrinkToFit="1"/>
    </xf>
    <xf numFmtId="0" fontId="10" fillId="0" borderId="7" xfId="0" applyNumberFormat="1" applyFont="1" applyBorder="1" applyAlignment="1" applyProtection="1">
      <alignment horizontal="center"/>
    </xf>
    <xf numFmtId="49" fontId="10" fillId="0" borderId="0" xfId="0" applyNumberFormat="1" applyFont="1" applyBorder="1" applyAlignment="1" applyProtection="1">
      <alignment horizontal="center" shrinkToFit="1"/>
    </xf>
    <xf numFmtId="1" fontId="20" fillId="0" borderId="0" xfId="0" applyNumberFormat="1" applyFont="1" applyFill="1" applyBorder="1" applyAlignment="1" applyProtection="1">
      <alignment horizontal="center" shrinkToFit="1"/>
    </xf>
    <xf numFmtId="1" fontId="20" fillId="0" borderId="0" xfId="0" applyNumberFormat="1" applyFont="1" applyFill="1" applyBorder="1" applyAlignment="1" applyProtection="1">
      <alignment horizontal="left" shrinkToFit="1"/>
    </xf>
    <xf numFmtId="2" fontId="7" fillId="0" borderId="0" xfId="0" applyNumberFormat="1" applyFont="1" applyFill="1" applyBorder="1" applyAlignment="1" applyProtection="1">
      <alignment horizontal="right" shrinkToFit="1"/>
    </xf>
    <xf numFmtId="2" fontId="20" fillId="0" borderId="0" xfId="0" applyNumberFormat="1" applyFont="1" applyFill="1" applyBorder="1" applyAlignment="1" applyProtection="1">
      <alignment horizontal="left" shrinkToFit="1"/>
    </xf>
    <xf numFmtId="2" fontId="20" fillId="0" borderId="0" xfId="0" applyNumberFormat="1" applyFont="1" applyFill="1" applyBorder="1" applyAlignment="1" applyProtection="1">
      <alignment horizontal="center"/>
    </xf>
    <xf numFmtId="0" fontId="20" fillId="0" borderId="5" xfId="0" applyFont="1" applyFill="1" applyBorder="1" applyAlignment="1" applyProtection="1">
      <alignment horizontal="right" shrinkToFit="1"/>
    </xf>
    <xf numFmtId="9" fontId="10" fillId="6" borderId="7" xfId="0" applyNumberFormat="1" applyFont="1" applyFill="1" applyBorder="1" applyAlignment="1" applyProtection="1">
      <alignment horizontal="right" shrinkToFit="1"/>
    </xf>
    <xf numFmtId="9" fontId="10" fillId="6" borderId="7" xfId="0" applyNumberFormat="1" applyFont="1" applyFill="1" applyBorder="1" applyAlignment="1" applyProtection="1">
      <alignment horizontal="left" shrinkToFit="1"/>
    </xf>
    <xf numFmtId="0" fontId="10" fillId="0" borderId="7" xfId="0" applyFont="1" applyFill="1" applyBorder="1" applyAlignment="1" applyProtection="1">
      <alignment horizontal="center" shrinkToFit="1"/>
    </xf>
    <xf numFmtId="0" fontId="10" fillId="0" borderId="8" xfId="0" applyFont="1" applyFill="1" applyBorder="1" applyAlignment="1" applyProtection="1">
      <alignment horizontal="left" shrinkToFit="1"/>
    </xf>
    <xf numFmtId="0" fontId="0" fillId="7" borderId="0" xfId="0" applyFill="1" applyProtection="1"/>
    <xf numFmtId="0" fontId="0" fillId="7" borderId="0" xfId="0" applyFill="1" applyAlignment="1" applyProtection="1"/>
    <xf numFmtId="0" fontId="0" fillId="7" borderId="0" xfId="0" applyFill="1" applyAlignment="1" applyProtection="1">
      <alignment horizontal="left"/>
    </xf>
    <xf numFmtId="0" fontId="10" fillId="7" borderId="0" xfId="0" applyFont="1" applyFill="1" applyAlignment="1" applyProtection="1"/>
    <xf numFmtId="0" fontId="10" fillId="7" borderId="0" xfId="0" applyFont="1" applyFill="1" applyAlignment="1" applyProtection="1">
      <alignment horizontal="right"/>
    </xf>
    <xf numFmtId="0" fontId="25" fillId="0" borderId="0" xfId="0" applyFont="1" applyBorder="1" applyProtection="1"/>
    <xf numFmtId="0" fontId="25" fillId="0" borderId="0" xfId="0" applyFont="1" applyProtection="1"/>
    <xf numFmtId="0" fontId="20" fillId="0" borderId="0" xfId="0" applyFont="1" applyFill="1" applyAlignment="1" applyProtection="1">
      <alignment shrinkToFit="1"/>
    </xf>
    <xf numFmtId="0" fontId="10" fillId="0" borderId="7" xfId="0" applyNumberFormat="1" applyFont="1" applyBorder="1" applyAlignment="1" applyProtection="1">
      <alignment horizontal="center" shrinkToFit="1"/>
    </xf>
    <xf numFmtId="0" fontId="20" fillId="0" borderId="19"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14" fillId="0" borderId="19"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20" fillId="0" borderId="7" xfId="0" applyFont="1" applyFill="1" applyBorder="1" applyAlignment="1" applyProtection="1">
      <alignment horizontal="left" vertical="top" wrapText="1"/>
    </xf>
    <xf numFmtId="0" fontId="0" fillId="0" borderId="7" xfId="0"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9" fontId="20" fillId="6" borderId="0" xfId="0" applyNumberFormat="1" applyFont="1" applyFill="1" applyBorder="1" applyAlignment="1" applyProtection="1">
      <alignment horizontal="center" shrinkToFit="1"/>
    </xf>
    <xf numFmtId="165" fontId="7" fillId="0" borderId="0" xfId="0" applyNumberFormat="1" applyFont="1" applyFill="1" applyBorder="1" applyAlignment="1" applyProtection="1">
      <alignment horizontal="right" shrinkToFit="1"/>
    </xf>
    <xf numFmtId="167" fontId="20" fillId="6" borderId="0" xfId="0" applyNumberFormat="1" applyFont="1" applyFill="1" applyBorder="1" applyAlignment="1" applyProtection="1">
      <alignment horizontal="center" shrinkToFit="1"/>
    </xf>
    <xf numFmtId="167" fontId="10" fillId="6" borderId="8" xfId="0" applyNumberFormat="1" applyFont="1" applyFill="1" applyBorder="1" applyAlignment="1" applyProtection="1">
      <alignment horizontal="left" shrinkToFit="1"/>
    </xf>
    <xf numFmtId="9" fontId="10" fillId="6" borderId="8" xfId="0" applyNumberFormat="1" applyFont="1" applyFill="1" applyBorder="1" applyAlignment="1" applyProtection="1">
      <alignment horizontal="left" shrinkToFit="1"/>
    </xf>
    <xf numFmtId="0" fontId="10" fillId="0" borderId="0" xfId="0" applyFont="1" applyFill="1" applyBorder="1" applyProtection="1"/>
    <xf numFmtId="0" fontId="23" fillId="0" borderId="0" xfId="0" applyFont="1" applyFill="1" applyBorder="1" applyAlignment="1" applyProtection="1">
      <alignment horizontal="center"/>
    </xf>
    <xf numFmtId="0" fontId="10" fillId="0" borderId="0" xfId="0" applyFont="1" applyFill="1" applyBorder="1" applyAlignment="1" applyProtection="1">
      <alignment horizontal="left"/>
    </xf>
    <xf numFmtId="2" fontId="10" fillId="6" borderId="6" xfId="0" applyNumberFormat="1" applyFont="1" applyFill="1" applyBorder="1" applyAlignment="1" applyProtection="1">
      <alignment horizontal="right" shrinkToFit="1"/>
    </xf>
    <xf numFmtId="2" fontId="10" fillId="6" borderId="8" xfId="0" applyNumberFormat="1" applyFont="1" applyFill="1" applyBorder="1" applyAlignment="1" applyProtection="1">
      <alignment horizontal="left" shrinkToFit="1"/>
    </xf>
    <xf numFmtId="0" fontId="10" fillId="0" borderId="5" xfId="0" applyFont="1" applyFill="1" applyBorder="1" applyAlignment="1" applyProtection="1">
      <alignment horizontal="left"/>
    </xf>
    <xf numFmtId="0" fontId="10" fillId="0" borderId="7" xfId="0" applyNumberFormat="1" applyFont="1" applyFill="1" applyBorder="1" applyAlignment="1" applyProtection="1">
      <alignment horizontal="center"/>
    </xf>
    <xf numFmtId="1" fontId="20" fillId="0" borderId="4" xfId="0" applyNumberFormat="1" applyFont="1" applyFill="1" applyBorder="1" applyAlignment="1" applyProtection="1">
      <alignment horizontal="right" shrinkToFit="1"/>
    </xf>
    <xf numFmtId="1" fontId="10" fillId="0" borderId="6" xfId="0" applyNumberFormat="1" applyFont="1" applyFill="1" applyBorder="1" applyAlignment="1" applyProtection="1">
      <alignment horizontal="right" shrinkToFit="1"/>
    </xf>
    <xf numFmtId="1" fontId="10" fillId="0" borderId="7" xfId="0" applyNumberFormat="1" applyFont="1" applyFill="1" applyBorder="1" applyAlignment="1" applyProtection="1">
      <alignment horizontal="left" shrinkToFit="1"/>
    </xf>
    <xf numFmtId="2" fontId="11" fillId="0" borderId="7" xfId="0" applyNumberFormat="1" applyFont="1" applyFill="1" applyBorder="1" applyAlignment="1" applyProtection="1">
      <alignment horizontal="right" shrinkToFit="1"/>
    </xf>
    <xf numFmtId="2" fontId="11" fillId="0" borderId="7" xfId="0" applyNumberFormat="1" applyFont="1" applyFill="1" applyBorder="1" applyAlignment="1" applyProtection="1">
      <alignment horizontal="center" shrinkToFit="1"/>
    </xf>
    <xf numFmtId="2" fontId="11" fillId="0" borderId="7" xfId="0" applyNumberFormat="1" applyFont="1" applyFill="1" applyBorder="1" applyAlignment="1" applyProtection="1">
      <alignment horizontal="left" shrinkToFit="1"/>
    </xf>
    <xf numFmtId="1" fontId="10" fillId="0" borderId="7" xfId="0" applyNumberFormat="1" applyFont="1" applyFill="1" applyBorder="1" applyAlignment="1" applyProtection="1">
      <alignment horizontal="right" shrinkToFit="1"/>
    </xf>
    <xf numFmtId="0" fontId="5" fillId="8" borderId="29" xfId="0" applyNumberFormat="1" applyFont="1" applyFill="1" applyBorder="1" applyAlignment="1" applyProtection="1">
      <alignment horizontal="right"/>
      <protection locked="0"/>
    </xf>
    <xf numFmtId="0" fontId="0" fillId="0" borderId="19" xfId="0" applyFill="1" applyBorder="1" applyAlignment="1" applyProtection="1">
      <alignment horizontal="left" vertical="top" wrapText="1"/>
    </xf>
    <xf numFmtId="0" fontId="0" fillId="0" borderId="21" xfId="0" applyFill="1" applyBorder="1" applyAlignment="1" applyProtection="1">
      <alignment horizontal="left" vertical="top" wrapText="1"/>
    </xf>
    <xf numFmtId="0" fontId="0" fillId="0" borderId="15" xfId="0" applyFill="1" applyBorder="1" applyAlignment="1" applyProtection="1">
      <alignment horizontal="left" vertical="top" wrapText="1"/>
    </xf>
    <xf numFmtId="0" fontId="0" fillId="0" borderId="26"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20" fillId="3" borderId="29" xfId="0" applyFont="1" applyFill="1" applyBorder="1" applyAlignment="1" applyProtection="1">
      <alignment horizontal="right"/>
    </xf>
    <xf numFmtId="0" fontId="30" fillId="0" borderId="0" xfId="0" applyFont="1" applyProtection="1"/>
    <xf numFmtId="0" fontId="20" fillId="0" borderId="0" xfId="0" applyFont="1" applyFill="1" applyBorder="1" applyAlignment="1" applyProtection="1">
      <alignment horizontal="left" vertical="center" wrapText="1"/>
    </xf>
    <xf numFmtId="9" fontId="0" fillId="4" borderId="31" xfId="0" applyNumberFormat="1" applyFill="1" applyBorder="1" applyAlignment="1" applyProtection="1">
      <alignment horizontal="left" vertical="center" wrapText="1"/>
      <protection locked="0"/>
    </xf>
    <xf numFmtId="2" fontId="0" fillId="4" borderId="31" xfId="0" applyNumberFormat="1" applyFill="1" applyBorder="1" applyAlignment="1" applyProtection="1">
      <alignment horizontal="left" vertical="center" wrapText="1"/>
      <protection locked="0"/>
    </xf>
    <xf numFmtId="0" fontId="0" fillId="0" borderId="0" xfId="0" applyFill="1" applyAlignment="1" applyProtection="1">
      <alignment horizontal="left" vertical="center"/>
    </xf>
    <xf numFmtId="0" fontId="0" fillId="0" borderId="0" xfId="0" applyFill="1" applyAlignment="1" applyProtection="1">
      <alignment horizontal="right"/>
    </xf>
    <xf numFmtId="0" fontId="32" fillId="0" borderId="0" xfId="0" applyFont="1" applyFill="1" applyBorder="1" applyAlignment="1" applyProtection="1">
      <alignment horizontal="left" wrapText="1"/>
    </xf>
    <xf numFmtId="0" fontId="31" fillId="0" borderId="0" xfId="0" applyFont="1" applyAlignment="1" applyProtection="1">
      <alignment horizontal="left"/>
    </xf>
    <xf numFmtId="2" fontId="0" fillId="0" borderId="0" xfId="0" applyNumberFormat="1" applyFill="1" applyBorder="1" applyAlignment="1" applyProtection="1">
      <alignment horizontal="left" vertical="center" wrapText="1"/>
    </xf>
    <xf numFmtId="9" fontId="0" fillId="12" borderId="31" xfId="0" applyNumberFormat="1" applyFill="1" applyBorder="1" applyAlignment="1" applyProtection="1">
      <alignment horizontal="left" vertical="center" wrapText="1"/>
    </xf>
    <xf numFmtId="9" fontId="29" fillId="12" borderId="31" xfId="0" applyNumberFormat="1" applyFont="1" applyFill="1" applyBorder="1" applyAlignment="1" applyProtection="1">
      <alignment horizontal="left" vertical="center" wrapText="1"/>
    </xf>
    <xf numFmtId="9" fontId="0" fillId="0" borderId="0" xfId="0" applyNumberForma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wrapText="1"/>
    </xf>
    <xf numFmtId="0" fontId="0" fillId="0" borderId="0" xfId="0" applyFill="1" applyBorder="1" applyAlignment="1" applyProtection="1">
      <alignment horizontal="right"/>
    </xf>
    <xf numFmtId="0" fontId="0" fillId="0" borderId="0" xfId="0" applyFill="1" applyBorder="1" applyAlignment="1" applyProtection="1">
      <alignment horizontal="left" vertical="center"/>
    </xf>
    <xf numFmtId="0" fontId="31" fillId="0" borderId="0" xfId="0" applyFont="1" applyAlignment="1" applyProtection="1">
      <alignment horizontal="left" vertical="center"/>
    </xf>
    <xf numFmtId="0" fontId="31" fillId="0" borderId="0" xfId="0" applyFont="1" applyAlignment="1" applyProtection="1">
      <alignment horizontal="right"/>
    </xf>
    <xf numFmtId="0" fontId="31" fillId="0" borderId="0" xfId="0" applyFont="1" applyFill="1" applyAlignment="1" applyProtection="1">
      <alignment horizontal="left"/>
    </xf>
    <xf numFmtId="9" fontId="29" fillId="0" borderId="0" xfId="0" applyNumberFormat="1"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2" fontId="0" fillId="12" borderId="31" xfId="0" applyNumberFormat="1" applyFill="1" applyBorder="1" applyAlignment="1" applyProtection="1">
      <alignment horizontal="left" vertical="center" wrapText="1"/>
    </xf>
    <xf numFmtId="0" fontId="34" fillId="0" borderId="0" xfId="0" applyFont="1" applyFill="1" applyBorder="1" applyAlignment="1" applyProtection="1">
      <alignment horizontal="left" vertical="top" wrapText="1"/>
      <protection hidden="1"/>
    </xf>
    <xf numFmtId="0" fontId="33" fillId="0" borderId="0" xfId="0" applyFont="1" applyFill="1" applyAlignment="1" applyProtection="1">
      <alignment horizontal="left" vertical="center"/>
    </xf>
    <xf numFmtId="0" fontId="33" fillId="0" borderId="0" xfId="0" applyFont="1" applyFill="1" applyProtection="1"/>
    <xf numFmtId="0" fontId="33" fillId="0" borderId="0" xfId="0" applyFont="1" applyFill="1" applyAlignment="1" applyProtection="1">
      <alignment horizontal="right" vertical="center"/>
    </xf>
    <xf numFmtId="9" fontId="33" fillId="0" borderId="0" xfId="0" applyNumberFormat="1"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3" fillId="0" borderId="0" xfId="0" applyFont="1" applyFill="1" applyAlignment="1" applyProtection="1">
      <alignment horizontal="right"/>
    </xf>
    <xf numFmtId="2" fontId="33" fillId="0" borderId="0" xfId="0" applyNumberFormat="1" applyFont="1" applyFill="1" applyBorder="1" applyAlignment="1" applyProtection="1">
      <alignment horizontal="left" vertical="center" wrapText="1"/>
    </xf>
    <xf numFmtId="0" fontId="33" fillId="0" borderId="0" xfId="0" applyFont="1" applyAlignment="1" applyProtection="1">
      <alignment horizontal="left" vertical="center"/>
    </xf>
    <xf numFmtId="0" fontId="33" fillId="0" borderId="0" xfId="0" applyFont="1" applyProtection="1"/>
    <xf numFmtId="0" fontId="35" fillId="0" borderId="0" xfId="0" applyFont="1" applyFill="1" applyBorder="1" applyAlignment="1" applyProtection="1">
      <alignment horizontal="left" vertical="top" wrapText="1"/>
      <protection hidden="1"/>
    </xf>
    <xf numFmtId="0" fontId="33" fillId="0" borderId="0" xfId="0" applyFont="1" applyBorder="1" applyProtection="1"/>
    <xf numFmtId="0" fontId="33" fillId="0" borderId="0" xfId="0" applyFont="1" applyAlignment="1" applyProtection="1">
      <alignment horizontal="right"/>
    </xf>
    <xf numFmtId="2" fontId="33" fillId="0" borderId="0" xfId="0" applyNumberFormat="1" applyFont="1" applyAlignment="1" applyProtection="1">
      <alignment horizontal="right"/>
    </xf>
    <xf numFmtId="0" fontId="14" fillId="3" borderId="10" xfId="0" applyFont="1" applyFill="1" applyBorder="1" applyAlignment="1" applyProtection="1">
      <alignment horizontal="center" vertical="center" wrapText="1"/>
    </xf>
    <xf numFmtId="0" fontId="20" fillId="3" borderId="11" xfId="0" applyFont="1" applyFill="1" applyBorder="1" applyAlignment="1" applyProtection="1">
      <alignment horizontal="center" vertical="center" wrapText="1"/>
    </xf>
    <xf numFmtId="0" fontId="0" fillId="4" borderId="9" xfId="0" applyFill="1" applyBorder="1" applyAlignment="1" applyProtection="1">
      <alignment horizontal="left" vertical="center" wrapText="1"/>
      <protection locked="0"/>
    </xf>
    <xf numFmtId="0" fontId="20" fillId="4" borderId="11" xfId="0" applyFont="1" applyFill="1" applyBorder="1" applyAlignment="1" applyProtection="1">
      <alignment horizontal="left" vertical="center" wrapText="1"/>
      <protection locked="0"/>
    </xf>
    <xf numFmtId="0" fontId="14" fillId="3" borderId="9" xfId="0" applyFont="1" applyFill="1" applyBorder="1" applyAlignment="1" applyProtection="1">
      <alignment horizontal="center" vertical="center" wrapText="1"/>
    </xf>
    <xf numFmtId="15" fontId="0" fillId="4" borderId="9" xfId="0" applyNumberFormat="1" applyFill="1" applyBorder="1" applyAlignment="1" applyProtection="1">
      <alignment horizontal="center" vertical="center" wrapText="1"/>
      <protection locked="0"/>
    </xf>
    <xf numFmtId="15" fontId="20" fillId="4" borderId="1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top" wrapText="1"/>
      <protection hidden="1"/>
    </xf>
    <xf numFmtId="0" fontId="4" fillId="0" borderId="0" xfId="0" applyFont="1" applyAlignment="1" applyProtection="1">
      <alignment horizontal="center"/>
    </xf>
    <xf numFmtId="0" fontId="5" fillId="3" borderId="12" xfId="0" applyFont="1" applyFill="1" applyBorder="1" applyAlignment="1" applyProtection="1">
      <alignment horizontal="center" vertical="center" textRotation="180"/>
    </xf>
    <xf numFmtId="0" fontId="5" fillId="3" borderId="13" xfId="0" applyFont="1" applyFill="1" applyBorder="1" applyAlignment="1" applyProtection="1">
      <alignment horizontal="center" vertical="center" textRotation="180"/>
    </xf>
    <xf numFmtId="0" fontId="5" fillId="3" borderId="17" xfId="0" applyFont="1" applyFill="1" applyBorder="1" applyAlignment="1" applyProtection="1">
      <alignment horizontal="center" vertical="center" textRotation="180"/>
    </xf>
    <xf numFmtId="0" fontId="4" fillId="0" borderId="0" xfId="0" applyFont="1" applyBorder="1" applyAlignment="1" applyProtection="1">
      <alignment horizontal="left" vertical="top" wrapText="1"/>
    </xf>
    <xf numFmtId="0" fontId="0" fillId="11" borderId="0" xfId="0" applyFill="1" applyBorder="1" applyAlignment="1" applyProtection="1">
      <alignment horizontal="center" wrapText="1"/>
      <protection locked="0"/>
    </xf>
    <xf numFmtId="0" fontId="0" fillId="11" borderId="16" xfId="0" applyFill="1" applyBorder="1" applyAlignment="1" applyProtection="1">
      <alignment horizontal="center" wrapText="1"/>
      <protection locked="0"/>
    </xf>
    <xf numFmtId="0" fontId="14"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0" fillId="4" borderId="16" xfId="0" applyFill="1" applyBorder="1" applyAlignment="1" applyProtection="1">
      <alignment horizontal="center"/>
      <protection locked="0"/>
    </xf>
    <xf numFmtId="0" fontId="0" fillId="4" borderId="16" xfId="0" applyFill="1" applyBorder="1" applyAlignment="1" applyProtection="1">
      <alignment horizontal="center" shrinkToFit="1"/>
      <protection locked="0"/>
    </xf>
    <xf numFmtId="0" fontId="0" fillId="0" borderId="16" xfId="0" applyBorder="1" applyAlignment="1" applyProtection="1">
      <alignment horizontal="center" shrinkToFit="1"/>
      <protection locked="0"/>
    </xf>
    <xf numFmtId="0" fontId="4" fillId="3" borderId="12" xfId="0" applyFont="1" applyFill="1" applyBorder="1" applyAlignment="1" applyProtection="1">
      <alignment horizontal="center" vertical="center" textRotation="180"/>
    </xf>
    <xf numFmtId="0" fontId="4" fillId="3" borderId="13" xfId="0" applyFont="1" applyFill="1" applyBorder="1" applyAlignment="1" applyProtection="1">
      <alignment horizontal="center" vertical="center" textRotation="180"/>
    </xf>
    <xf numFmtId="0" fontId="4" fillId="3" borderId="17" xfId="0" applyFont="1" applyFill="1" applyBorder="1" applyAlignment="1" applyProtection="1">
      <alignment horizontal="center" vertical="center" textRotation="180"/>
    </xf>
    <xf numFmtId="9" fontId="20" fillId="6" borderId="0" xfId="0" applyNumberFormat="1" applyFont="1" applyFill="1" applyBorder="1" applyAlignment="1" applyProtection="1">
      <alignment horizontal="center" shrinkToFit="1"/>
    </xf>
    <xf numFmtId="0" fontId="14" fillId="4" borderId="14" xfId="0" applyFont="1" applyFill="1" applyBorder="1" applyAlignment="1" applyProtection="1">
      <alignment horizontal="left" vertical="top" wrapText="1"/>
      <protection hidden="1"/>
    </xf>
    <xf numFmtId="0" fontId="0" fillId="0" borderId="0" xfId="0" applyAlignment="1">
      <alignment horizontal="left" vertical="top" wrapText="1"/>
    </xf>
    <xf numFmtId="0" fontId="0" fillId="0" borderId="5" xfId="0" applyBorder="1" applyAlignment="1">
      <alignment horizontal="left" vertical="top" wrapText="1"/>
    </xf>
    <xf numFmtId="0" fontId="0" fillId="0" borderId="14" xfId="0" applyBorder="1" applyAlignment="1">
      <alignment horizontal="left" vertical="top" wrapText="1"/>
    </xf>
    <xf numFmtId="0" fontId="14" fillId="11" borderId="14" xfId="0" applyFont="1" applyFill="1" applyBorder="1" applyAlignment="1" applyProtection="1">
      <alignment horizontal="left" vertical="top" wrapText="1"/>
      <protection hidden="1"/>
    </xf>
    <xf numFmtId="0" fontId="29" fillId="11" borderId="0" xfId="0" applyFont="1" applyFill="1" applyAlignment="1">
      <alignment horizontal="left" vertical="top" wrapText="1"/>
    </xf>
    <xf numFmtId="0" fontId="29" fillId="11" borderId="5" xfId="0" applyFont="1" applyFill="1" applyBorder="1" applyAlignment="1">
      <alignment horizontal="left" vertical="top"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0" fillId="0" borderId="8" xfId="0" applyBorder="1" applyAlignment="1" applyProtection="1">
      <alignment horizontal="center" wrapText="1"/>
    </xf>
    <xf numFmtId="0" fontId="0" fillId="6" borderId="7" xfId="0" applyFill="1" applyBorder="1" applyAlignment="1" applyProtection="1">
      <alignment horizontal="center" shrinkToFit="1"/>
    </xf>
    <xf numFmtId="0" fontId="0" fillId="6" borderId="8" xfId="0" applyFill="1" applyBorder="1" applyAlignment="1" applyProtection="1">
      <alignment horizontal="center" shrinkToFit="1"/>
    </xf>
    <xf numFmtId="0" fontId="0" fillId="11" borderId="0" xfId="0" applyFill="1" applyAlignment="1" applyProtection="1">
      <protection locked="0"/>
    </xf>
    <xf numFmtId="0" fontId="0" fillId="0" borderId="0" xfId="0" applyAlignment="1" applyProtection="1">
      <protection locked="0"/>
    </xf>
    <xf numFmtId="0" fontId="0" fillId="10" borderId="14" xfId="0" applyFill="1" applyBorder="1" applyAlignment="1" applyProtection="1">
      <alignment horizontal="left" vertical="top" wrapText="1"/>
    </xf>
    <xf numFmtId="0" fontId="0" fillId="10" borderId="0" xfId="0" applyFill="1" applyBorder="1" applyAlignment="1" applyProtection="1">
      <alignment horizontal="left" vertical="top" wrapText="1"/>
    </xf>
    <xf numFmtId="0" fontId="0" fillId="10" borderId="5" xfId="0" applyFill="1" applyBorder="1" applyAlignment="1" applyProtection="1">
      <alignment horizontal="left" vertical="top" wrapText="1"/>
    </xf>
    <xf numFmtId="0" fontId="15" fillId="9" borderId="14" xfId="0" applyFont="1" applyFill="1" applyBorder="1" applyAlignment="1" applyProtection="1">
      <alignment horizontal="left" vertical="top" wrapText="1"/>
    </xf>
    <xf numFmtId="0" fontId="15" fillId="9" borderId="0" xfId="0" applyFont="1" applyFill="1" applyBorder="1" applyAlignment="1" applyProtection="1">
      <alignment horizontal="left" vertical="top" wrapText="1"/>
    </xf>
    <xf numFmtId="0" fontId="15" fillId="9" borderId="5" xfId="0" applyFont="1" applyFill="1" applyBorder="1" applyAlignment="1" applyProtection="1">
      <alignment horizontal="left" vertical="top" wrapText="1"/>
    </xf>
    <xf numFmtId="0" fontId="4" fillId="0" borderId="19" xfId="0" applyFont="1" applyBorder="1" applyAlignment="1" applyProtection="1">
      <alignment horizontal="left" wrapText="1"/>
    </xf>
    <xf numFmtId="0" fontId="4" fillId="0" borderId="0" xfId="0" applyFont="1" applyAlignment="1" applyProtection="1">
      <alignment horizontal="left" wrapText="1"/>
    </xf>
    <xf numFmtId="49" fontId="0" fillId="11" borderId="19" xfId="0" applyNumberFormat="1" applyFill="1" applyBorder="1" applyAlignment="1" applyProtection="1">
      <alignment horizontal="center" shrinkToFit="1"/>
      <protection locked="0"/>
    </xf>
    <xf numFmtId="49" fontId="0" fillId="11" borderId="16" xfId="0" applyNumberFormat="1" applyFill="1" applyBorder="1" applyAlignment="1" applyProtection="1">
      <alignment horizontal="center" shrinkToFit="1"/>
      <protection locked="0"/>
    </xf>
    <xf numFmtId="0" fontId="23" fillId="0" borderId="18" xfId="0" applyFont="1" applyBorder="1" applyAlignment="1" applyProtection="1">
      <alignment horizontal="center"/>
    </xf>
    <xf numFmtId="0" fontId="23" fillId="0" borderId="19" xfId="0" applyFont="1" applyBorder="1" applyAlignment="1" applyProtection="1">
      <alignment horizontal="center"/>
    </xf>
    <xf numFmtId="0" fontId="23" fillId="0" borderId="27" xfId="0" applyFont="1" applyBorder="1" applyAlignment="1" applyProtection="1">
      <alignment horizontal="center"/>
    </xf>
    <xf numFmtId="0" fontId="5" fillId="3" borderId="29" xfId="0" applyFont="1" applyFill="1" applyBorder="1" applyAlignment="1" applyProtection="1">
      <alignment horizontal="center"/>
    </xf>
    <xf numFmtId="0" fontId="0" fillId="0" borderId="29" xfId="0" applyBorder="1" applyAlignment="1" applyProtection="1"/>
    <xf numFmtId="0" fontId="0" fillId="3" borderId="13" xfId="0" applyFill="1" applyBorder="1" applyAlignment="1" applyProtection="1">
      <alignment horizontal="center" vertical="center" textRotation="180"/>
    </xf>
    <xf numFmtId="0" fontId="0" fillId="3" borderId="17" xfId="0" applyFill="1" applyBorder="1" applyAlignment="1" applyProtection="1">
      <alignment horizontal="center" vertical="center" textRotation="180"/>
    </xf>
    <xf numFmtId="0" fontId="14" fillId="0" borderId="18" xfId="0" applyFont="1" applyBorder="1" applyAlignment="1" applyProtection="1">
      <alignment horizontal="center"/>
    </xf>
    <xf numFmtId="0" fontId="0" fillId="0" borderId="19" xfId="0" applyBorder="1" applyAlignment="1" applyProtection="1">
      <alignment horizontal="center"/>
    </xf>
    <xf numFmtId="0" fontId="0" fillId="0" borderId="27" xfId="0" applyBorder="1" applyAlignment="1" applyProtection="1">
      <alignment horizontal="center"/>
    </xf>
    <xf numFmtId="166" fontId="0" fillId="6" borderId="19" xfId="0" applyNumberFormat="1" applyFill="1" applyBorder="1" applyAlignment="1" applyProtection="1">
      <alignment horizontal="left"/>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14" fillId="0" borderId="19" xfId="0" applyFont="1" applyBorder="1" applyAlignment="1" applyProtection="1">
      <alignment horizontal="center"/>
    </xf>
    <xf numFmtId="0" fontId="14" fillId="0" borderId="27" xfId="0" applyFont="1" applyBorder="1" applyAlignment="1" applyProtection="1">
      <alignment horizontal="center"/>
    </xf>
    <xf numFmtId="0" fontId="13" fillId="7" borderId="0" xfId="1" applyFont="1" applyFill="1" applyBorder="1" applyAlignment="1" applyProtection="1">
      <alignment horizontal="left"/>
    </xf>
    <xf numFmtId="0" fontId="0" fillId="0" borderId="19" xfId="0" applyBorder="1" applyAlignment="1" applyProtection="1">
      <alignment horizontal="center" wrapText="1"/>
    </xf>
    <xf numFmtId="0" fontId="0" fillId="0" borderId="27" xfId="0" applyBorder="1" applyAlignment="1" applyProtection="1">
      <alignment horizontal="center" wrapText="1"/>
    </xf>
    <xf numFmtId="0" fontId="0" fillId="6" borderId="6" xfId="0" applyFill="1" applyBorder="1" applyAlignment="1" applyProtection="1">
      <alignment horizontal="center" shrinkToFit="1"/>
    </xf>
    <xf numFmtId="2" fontId="23" fillId="0" borderId="19" xfId="0" applyNumberFormat="1" applyFont="1" applyBorder="1" applyAlignment="1" applyProtection="1">
      <alignment horizontal="center"/>
    </xf>
    <xf numFmtId="2" fontId="23" fillId="0" borderId="27" xfId="0" applyNumberFormat="1" applyFont="1" applyBorder="1" applyAlignment="1" applyProtection="1">
      <alignment horizontal="center"/>
    </xf>
    <xf numFmtId="2" fontId="23" fillId="0" borderId="18" xfId="0" applyNumberFormat="1" applyFont="1" applyBorder="1" applyAlignment="1" applyProtection="1">
      <alignment horizontal="center"/>
    </xf>
    <xf numFmtId="0" fontId="23" fillId="0" borderId="0" xfId="0" applyFont="1" applyFill="1" applyBorder="1" applyAlignment="1" applyProtection="1">
      <alignment horizontal="center"/>
    </xf>
    <xf numFmtId="0" fontId="4" fillId="5" borderId="20" xfId="0" applyFont="1" applyFill="1" applyBorder="1" applyAlignment="1" applyProtection="1">
      <alignment horizontal="left" vertical="center"/>
      <protection hidden="1"/>
    </xf>
    <xf numFmtId="0" fontId="4" fillId="5" borderId="19" xfId="0" applyFont="1" applyFill="1" applyBorder="1" applyAlignment="1" applyProtection="1">
      <alignment horizontal="left" vertical="center"/>
      <protection hidden="1"/>
    </xf>
    <xf numFmtId="0" fontId="4" fillId="5" borderId="27" xfId="0" applyFont="1" applyFill="1" applyBorder="1" applyAlignment="1" applyProtection="1">
      <alignment horizontal="left" vertical="center"/>
      <protection hidden="1"/>
    </xf>
    <xf numFmtId="0" fontId="14" fillId="6" borderId="4" xfId="0" applyFont="1" applyFill="1" applyBorder="1" applyAlignment="1" applyProtection="1">
      <alignment horizontal="left" vertical="top" wrapText="1"/>
      <protection hidden="1"/>
    </xf>
    <xf numFmtId="0" fontId="14" fillId="6" borderId="0" xfId="0" applyFont="1" applyFill="1" applyBorder="1" applyAlignment="1" applyProtection="1">
      <alignment horizontal="left" vertical="top" wrapText="1"/>
      <protection hidden="1"/>
    </xf>
    <xf numFmtId="0" fontId="14" fillId="6" borderId="5" xfId="0" applyFont="1" applyFill="1" applyBorder="1" applyAlignment="1" applyProtection="1">
      <alignment horizontal="left" vertical="top" wrapText="1"/>
      <protection hidden="1"/>
    </xf>
  </cellXfs>
  <cellStyles count="2">
    <cellStyle name="Hyperlink" xfId="1" builtinId="8"/>
    <cellStyle name="Normal" xfId="0" builtinId="0"/>
  </cellStyles>
  <dxfs count="14">
    <dxf>
      <font>
        <color rgb="FFFFFF9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rgb="FFCCFFCC"/>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Likelihood ratio nomogram</a:t>
            </a:r>
          </a:p>
        </c:rich>
      </c:tx>
      <c:layout/>
      <c:overlay val="1"/>
    </c:title>
    <c:autoTitleDeleted val="0"/>
    <c:plotArea>
      <c:layout>
        <c:manualLayout>
          <c:layoutTarget val="inner"/>
          <c:xMode val="edge"/>
          <c:yMode val="edge"/>
          <c:x val="0.0504776383150127"/>
          <c:y val="0.0588237253175813"/>
          <c:w val="0.743827083495753"/>
          <c:h val="0.831082485892192"/>
        </c:manualLayout>
      </c:layout>
      <c:scatterChart>
        <c:scatterStyle val="smoothMarker"/>
        <c:varyColors val="0"/>
        <c:ser>
          <c:idx val="1"/>
          <c:order val="0"/>
          <c:tx>
            <c:v>Pretest probability</c:v>
          </c:tx>
          <c:marker>
            <c:symbol val="dash"/>
            <c:size val="7"/>
          </c:marker>
          <c:dLbls>
            <c:dLbl>
              <c:idx val="0"/>
              <c:layout/>
              <c:tx>
                <c:strRef>
                  <c:f>'Analysis 1'!$X$13</c:f>
                  <c:strCache>
                    <c:ptCount val="1"/>
                    <c:pt idx="0">
                      <c:v>99</c:v>
                    </c:pt>
                  </c:strCache>
                </c:strRef>
              </c:tx>
              <c:showLegendKey val="0"/>
              <c:showVal val="1"/>
              <c:showCatName val="0"/>
              <c:showSerName val="0"/>
              <c:showPercent val="0"/>
              <c:showBubbleSize val="0"/>
            </c:dLbl>
            <c:dLbl>
              <c:idx val="1"/>
              <c:layout/>
              <c:tx>
                <c:strRef>
                  <c:f>'Analysis 1'!$X$14</c:f>
                  <c:strCache>
                    <c:ptCount val="1"/>
                    <c:pt idx="0">
                      <c:v>95</c:v>
                    </c:pt>
                  </c:strCache>
                </c:strRef>
              </c:tx>
              <c:showLegendKey val="0"/>
              <c:showVal val="1"/>
              <c:showCatName val="0"/>
              <c:showSerName val="0"/>
              <c:showPercent val="0"/>
              <c:showBubbleSize val="0"/>
            </c:dLbl>
            <c:dLbl>
              <c:idx val="2"/>
              <c:layout/>
              <c:tx>
                <c:strRef>
                  <c:f>'Analysis 1'!$X$15</c:f>
                  <c:strCache>
                    <c:ptCount val="1"/>
                    <c:pt idx="0">
                      <c:v>90</c:v>
                    </c:pt>
                  </c:strCache>
                </c:strRef>
              </c:tx>
              <c:showLegendKey val="0"/>
              <c:showVal val="1"/>
              <c:showCatName val="0"/>
              <c:showSerName val="0"/>
              <c:showPercent val="0"/>
              <c:showBubbleSize val="0"/>
            </c:dLbl>
            <c:dLbl>
              <c:idx val="3"/>
              <c:layout/>
              <c:tx>
                <c:strRef>
                  <c:f>'Analysis 1'!$X$16</c:f>
                  <c:strCache>
                    <c:ptCount val="1"/>
                    <c:pt idx="0">
                      <c:v>80</c:v>
                    </c:pt>
                  </c:strCache>
                </c:strRef>
              </c:tx>
              <c:showLegendKey val="0"/>
              <c:showVal val="1"/>
              <c:showCatName val="0"/>
              <c:showSerName val="0"/>
              <c:showPercent val="0"/>
              <c:showBubbleSize val="0"/>
            </c:dLbl>
            <c:dLbl>
              <c:idx val="4"/>
              <c:layout/>
              <c:tx>
                <c:strRef>
                  <c:f>'Analysis 1'!$X$17</c:f>
                  <c:strCache>
                    <c:ptCount val="1"/>
                    <c:pt idx="0">
                      <c:v>70</c:v>
                    </c:pt>
                  </c:strCache>
                </c:strRef>
              </c:tx>
              <c:showLegendKey val="0"/>
              <c:showVal val="1"/>
              <c:showCatName val="0"/>
              <c:showSerName val="0"/>
              <c:showPercent val="0"/>
              <c:showBubbleSize val="0"/>
            </c:dLbl>
            <c:dLbl>
              <c:idx val="5"/>
              <c:layout/>
              <c:tx>
                <c:strRef>
                  <c:f>'Analysis 1'!$X$18</c:f>
                  <c:strCache>
                    <c:ptCount val="1"/>
                    <c:pt idx="0">
                      <c:v>60</c:v>
                    </c:pt>
                  </c:strCache>
                </c:strRef>
              </c:tx>
              <c:showLegendKey val="0"/>
              <c:showVal val="1"/>
              <c:showCatName val="0"/>
              <c:showSerName val="0"/>
              <c:showPercent val="0"/>
              <c:showBubbleSize val="0"/>
            </c:dLbl>
            <c:dLbl>
              <c:idx val="6"/>
              <c:layout/>
              <c:tx>
                <c:strRef>
                  <c:f>'Analysis 1'!$X$19</c:f>
                  <c:strCache>
                    <c:ptCount val="1"/>
                    <c:pt idx="0">
                      <c:v>50</c:v>
                    </c:pt>
                  </c:strCache>
                </c:strRef>
              </c:tx>
              <c:showLegendKey val="0"/>
              <c:showVal val="1"/>
              <c:showCatName val="0"/>
              <c:showSerName val="0"/>
              <c:showPercent val="0"/>
              <c:showBubbleSize val="0"/>
            </c:dLbl>
            <c:dLbl>
              <c:idx val="7"/>
              <c:layout/>
              <c:tx>
                <c:strRef>
                  <c:f>'Analysis 1'!$X$20</c:f>
                  <c:strCache>
                    <c:ptCount val="1"/>
                    <c:pt idx="0">
                      <c:v>40</c:v>
                    </c:pt>
                  </c:strCache>
                </c:strRef>
              </c:tx>
              <c:showLegendKey val="0"/>
              <c:showVal val="1"/>
              <c:showCatName val="0"/>
              <c:showSerName val="0"/>
              <c:showPercent val="0"/>
              <c:showBubbleSize val="0"/>
            </c:dLbl>
            <c:dLbl>
              <c:idx val="8"/>
              <c:layout/>
              <c:tx>
                <c:strRef>
                  <c:f>'Analysis 1'!$X$21</c:f>
                  <c:strCache>
                    <c:ptCount val="1"/>
                    <c:pt idx="0">
                      <c:v>30</c:v>
                    </c:pt>
                  </c:strCache>
                </c:strRef>
              </c:tx>
              <c:showLegendKey val="0"/>
              <c:showVal val="1"/>
              <c:showCatName val="0"/>
              <c:showSerName val="0"/>
              <c:showPercent val="0"/>
              <c:showBubbleSize val="0"/>
            </c:dLbl>
            <c:dLbl>
              <c:idx val="9"/>
              <c:layout/>
              <c:tx>
                <c:strRef>
                  <c:f>'Analysis 1'!$X$22</c:f>
                  <c:strCache>
                    <c:ptCount val="1"/>
                    <c:pt idx="0">
                      <c:v>20</c:v>
                    </c:pt>
                  </c:strCache>
                </c:strRef>
              </c:tx>
              <c:showLegendKey val="0"/>
              <c:showVal val="1"/>
              <c:showCatName val="0"/>
              <c:showSerName val="0"/>
              <c:showPercent val="0"/>
              <c:showBubbleSize val="0"/>
            </c:dLbl>
            <c:dLbl>
              <c:idx val="10"/>
              <c:layout/>
              <c:tx>
                <c:strRef>
                  <c:f>'Analysis 1'!$X$23</c:f>
                  <c:strCache>
                    <c:ptCount val="1"/>
                    <c:pt idx="0">
                      <c:v>10</c:v>
                    </c:pt>
                  </c:strCache>
                </c:strRef>
              </c:tx>
              <c:showLegendKey val="0"/>
              <c:showVal val="1"/>
              <c:showCatName val="0"/>
              <c:showSerName val="0"/>
              <c:showPercent val="0"/>
              <c:showBubbleSize val="0"/>
            </c:dLbl>
            <c:dLbl>
              <c:idx val="11"/>
              <c:layout/>
              <c:tx>
                <c:strRef>
                  <c:f>'Analysis 1'!$X$24</c:f>
                  <c:strCache>
                    <c:ptCount val="1"/>
                    <c:pt idx="0">
                      <c:v>5</c:v>
                    </c:pt>
                  </c:strCache>
                </c:strRef>
              </c:tx>
              <c:showLegendKey val="0"/>
              <c:showVal val="1"/>
              <c:showCatName val="0"/>
              <c:showSerName val="0"/>
              <c:showPercent val="0"/>
              <c:showBubbleSize val="0"/>
            </c:dLbl>
            <c:dLbl>
              <c:idx val="12"/>
              <c:layout/>
              <c:tx>
                <c:strRef>
                  <c:f>'Analysis 1'!$X$25</c:f>
                  <c:strCache>
                    <c:ptCount val="1"/>
                    <c:pt idx="0">
                      <c:v>2</c:v>
                    </c:pt>
                  </c:strCache>
                </c:strRef>
              </c:tx>
              <c:showLegendKey val="0"/>
              <c:showVal val="1"/>
              <c:showCatName val="0"/>
              <c:showSerName val="0"/>
              <c:showPercent val="0"/>
              <c:showBubbleSize val="0"/>
            </c:dLbl>
            <c:dLbl>
              <c:idx val="13"/>
              <c:layout/>
              <c:tx>
                <c:strRef>
                  <c:f>'Analysis 1'!$X$26</c:f>
                  <c:strCache>
                    <c:ptCount val="1"/>
                    <c:pt idx="0">
                      <c:v>1</c:v>
                    </c:pt>
                  </c:strCache>
                </c:strRef>
              </c:tx>
              <c:showLegendKey val="0"/>
              <c:showVal val="1"/>
              <c:showCatName val="0"/>
              <c:showSerName val="0"/>
              <c:showPercent val="0"/>
              <c:showBubbleSize val="0"/>
            </c:dLbl>
            <c:dLbl>
              <c:idx val="14"/>
              <c:layout/>
              <c:tx>
                <c:strRef>
                  <c:f>'Analysis 1'!$X$27</c:f>
                  <c:strCache>
                    <c:ptCount val="1"/>
                    <c:pt idx="0">
                      <c:v>0.5</c:v>
                    </c:pt>
                  </c:strCache>
                </c:strRef>
              </c:tx>
              <c:showLegendKey val="0"/>
              <c:showVal val="1"/>
              <c:showCatName val="0"/>
              <c:showSerName val="0"/>
              <c:showPercent val="0"/>
              <c:showBubbleSize val="0"/>
            </c:dLbl>
            <c:dLbl>
              <c:idx val="15"/>
              <c:layout/>
              <c:tx>
                <c:strRef>
                  <c:f>'Analysis 1'!$X$28</c:f>
                  <c:strCache>
                    <c:ptCount val="1"/>
                    <c:pt idx="0">
                      <c:v>0.2</c:v>
                    </c:pt>
                  </c:strCache>
                </c:strRef>
              </c:tx>
              <c:showLegendKey val="0"/>
              <c:showVal val="1"/>
              <c:showCatName val="0"/>
              <c:showSerName val="0"/>
              <c:showPercent val="0"/>
              <c:showBubbleSize val="0"/>
            </c:dLbl>
            <c:dLbl>
              <c:idx val="16"/>
              <c:layout/>
              <c:tx>
                <c:strRef>
                  <c:f>'Analysis 1'!$X$29</c:f>
                  <c:strCache>
                    <c:ptCount val="1"/>
                    <c:pt idx="0">
                      <c:v>0.1</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xVal>
            <c:numRef>
              <c:f>'Analysis 1'!$W$13:$W$29</c:f>
              <c:numCache>
                <c:formatCode>General</c:formatCode>
                <c:ptCount val="1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numCache>
            </c:numRef>
          </c:xVal>
          <c:yVal>
            <c:numRef>
              <c:f>'Analysis 1'!$Y$13:$Y$29</c:f>
              <c:numCache>
                <c:formatCode>General</c:formatCode>
                <c:ptCount val="17"/>
                <c:pt idx="0">
                  <c:v>-1.995635194597549</c:v>
                </c:pt>
                <c:pt idx="1">
                  <c:v>-1.278753600952829</c:v>
                </c:pt>
                <c:pt idx="2">
                  <c:v>-0.954242509439325</c:v>
                </c:pt>
                <c:pt idx="3">
                  <c:v>-0.602059991327962</c:v>
                </c:pt>
                <c:pt idx="4">
                  <c:v>-0.367976785294594</c:v>
                </c:pt>
                <c:pt idx="5">
                  <c:v>-0.176091259055681</c:v>
                </c:pt>
                <c:pt idx="6">
                  <c:v>0.0</c:v>
                </c:pt>
                <c:pt idx="7">
                  <c:v>0.176091259055681</c:v>
                </c:pt>
                <c:pt idx="8">
                  <c:v>0.367976785294594</c:v>
                </c:pt>
                <c:pt idx="9">
                  <c:v>0.602059991327962</c:v>
                </c:pt>
                <c:pt idx="10">
                  <c:v>0.954242509439325</c:v>
                </c:pt>
                <c:pt idx="11">
                  <c:v>1.278753600952829</c:v>
                </c:pt>
                <c:pt idx="12">
                  <c:v>1.690196080028514</c:v>
                </c:pt>
                <c:pt idx="13">
                  <c:v>1.99563519459755</c:v>
                </c:pt>
                <c:pt idx="14">
                  <c:v>2.298853076409707</c:v>
                </c:pt>
                <c:pt idx="15">
                  <c:v>2.69810054562339</c:v>
                </c:pt>
                <c:pt idx="16">
                  <c:v>2.999565488225982</c:v>
                </c:pt>
              </c:numCache>
            </c:numRef>
          </c:yVal>
          <c:smooth val="1"/>
        </c:ser>
        <c:ser>
          <c:idx val="2"/>
          <c:order val="1"/>
          <c:tx>
            <c:v>Likelihood ratio</c:v>
          </c:tx>
          <c:marker>
            <c:symbol val="dash"/>
            <c:size val="7"/>
          </c:marker>
          <c:dLbls>
            <c:dLbl>
              <c:idx val="0"/>
              <c:layout/>
              <c:tx>
                <c:strRef>
                  <c:f>'Analysis 1'!$AA$13</c:f>
                  <c:strCache>
                    <c:ptCount val="1"/>
                    <c:pt idx="0">
                      <c:v>0.001</c:v>
                    </c:pt>
                  </c:strCache>
                </c:strRef>
              </c:tx>
              <c:showLegendKey val="0"/>
              <c:showVal val="1"/>
              <c:showCatName val="0"/>
              <c:showSerName val="0"/>
              <c:showPercent val="0"/>
              <c:showBubbleSize val="0"/>
            </c:dLbl>
            <c:dLbl>
              <c:idx val="1"/>
              <c:layout/>
              <c:tx>
                <c:strRef>
                  <c:f>'Analysis 1'!$AA$14</c:f>
                  <c:strCache>
                    <c:ptCount val="1"/>
                    <c:pt idx="0">
                      <c:v>0.002</c:v>
                    </c:pt>
                  </c:strCache>
                </c:strRef>
              </c:tx>
              <c:showLegendKey val="0"/>
              <c:showVal val="1"/>
              <c:showCatName val="0"/>
              <c:showSerName val="0"/>
              <c:showPercent val="0"/>
              <c:showBubbleSize val="0"/>
            </c:dLbl>
            <c:dLbl>
              <c:idx val="2"/>
              <c:layout/>
              <c:tx>
                <c:strRef>
                  <c:f>'Analysis 1'!$AA$15</c:f>
                  <c:strCache>
                    <c:ptCount val="1"/>
                    <c:pt idx="0">
                      <c:v>0.005</c:v>
                    </c:pt>
                  </c:strCache>
                </c:strRef>
              </c:tx>
              <c:showLegendKey val="0"/>
              <c:showVal val="1"/>
              <c:showCatName val="0"/>
              <c:showSerName val="0"/>
              <c:showPercent val="0"/>
              <c:showBubbleSize val="0"/>
            </c:dLbl>
            <c:dLbl>
              <c:idx val="3"/>
              <c:layout/>
              <c:tx>
                <c:strRef>
                  <c:f>'Analysis 1'!$AA$16</c:f>
                  <c:strCache>
                    <c:ptCount val="1"/>
                    <c:pt idx="0">
                      <c:v>0.01</c:v>
                    </c:pt>
                  </c:strCache>
                </c:strRef>
              </c:tx>
              <c:showLegendKey val="0"/>
              <c:showVal val="1"/>
              <c:showCatName val="0"/>
              <c:showSerName val="0"/>
              <c:showPercent val="0"/>
              <c:showBubbleSize val="0"/>
            </c:dLbl>
            <c:dLbl>
              <c:idx val="4"/>
              <c:layout/>
              <c:tx>
                <c:strRef>
                  <c:f>'Analysis 1'!$AA$17</c:f>
                  <c:strCache>
                    <c:ptCount val="1"/>
                    <c:pt idx="0">
                      <c:v>0.02</c:v>
                    </c:pt>
                  </c:strCache>
                </c:strRef>
              </c:tx>
              <c:showLegendKey val="0"/>
              <c:showVal val="1"/>
              <c:showCatName val="0"/>
              <c:showSerName val="0"/>
              <c:showPercent val="0"/>
              <c:showBubbleSize val="0"/>
            </c:dLbl>
            <c:dLbl>
              <c:idx val="5"/>
              <c:layout/>
              <c:tx>
                <c:strRef>
                  <c:f>'Analysis 1'!$AA$18</c:f>
                  <c:strCache>
                    <c:ptCount val="1"/>
                    <c:pt idx="0">
                      <c:v>0.05</c:v>
                    </c:pt>
                  </c:strCache>
                </c:strRef>
              </c:tx>
              <c:showLegendKey val="0"/>
              <c:showVal val="1"/>
              <c:showCatName val="0"/>
              <c:showSerName val="0"/>
              <c:showPercent val="0"/>
              <c:showBubbleSize val="0"/>
            </c:dLbl>
            <c:dLbl>
              <c:idx val="6"/>
              <c:layout/>
              <c:tx>
                <c:strRef>
                  <c:f>'Analysis 1'!$AA$19</c:f>
                  <c:strCache>
                    <c:ptCount val="1"/>
                    <c:pt idx="0">
                      <c:v>0.1</c:v>
                    </c:pt>
                  </c:strCache>
                </c:strRef>
              </c:tx>
              <c:showLegendKey val="0"/>
              <c:showVal val="1"/>
              <c:showCatName val="0"/>
              <c:showSerName val="0"/>
              <c:showPercent val="0"/>
              <c:showBubbleSize val="0"/>
            </c:dLbl>
            <c:dLbl>
              <c:idx val="7"/>
              <c:layout/>
              <c:tx>
                <c:strRef>
                  <c:f>'Analysis 1'!$AA$20</c:f>
                  <c:strCache>
                    <c:ptCount val="1"/>
                    <c:pt idx="0">
                      <c:v>0.2</c:v>
                    </c:pt>
                  </c:strCache>
                </c:strRef>
              </c:tx>
              <c:showLegendKey val="0"/>
              <c:showVal val="1"/>
              <c:showCatName val="0"/>
              <c:showSerName val="0"/>
              <c:showPercent val="0"/>
              <c:showBubbleSize val="0"/>
            </c:dLbl>
            <c:dLbl>
              <c:idx val="8"/>
              <c:layout/>
              <c:tx>
                <c:strRef>
                  <c:f>'Analysis 1'!$AA$21</c:f>
                  <c:strCache>
                    <c:ptCount val="1"/>
                    <c:pt idx="0">
                      <c:v>0.5</c:v>
                    </c:pt>
                  </c:strCache>
                </c:strRef>
              </c:tx>
              <c:showLegendKey val="0"/>
              <c:showVal val="1"/>
              <c:showCatName val="0"/>
              <c:showSerName val="0"/>
              <c:showPercent val="0"/>
              <c:showBubbleSize val="0"/>
            </c:dLbl>
            <c:dLbl>
              <c:idx val="9"/>
              <c:layout/>
              <c:tx>
                <c:strRef>
                  <c:f>'Analysis 1'!$AA$22</c:f>
                  <c:strCache>
                    <c:ptCount val="1"/>
                    <c:pt idx="0">
                      <c:v>1</c:v>
                    </c:pt>
                  </c:strCache>
                </c:strRef>
              </c:tx>
              <c:showLegendKey val="0"/>
              <c:showVal val="1"/>
              <c:showCatName val="0"/>
              <c:showSerName val="0"/>
              <c:showPercent val="0"/>
              <c:showBubbleSize val="0"/>
            </c:dLbl>
            <c:dLbl>
              <c:idx val="10"/>
              <c:layout/>
              <c:tx>
                <c:strRef>
                  <c:f>'Analysis 1'!$AA$23</c:f>
                  <c:strCache>
                    <c:ptCount val="1"/>
                    <c:pt idx="0">
                      <c:v>2</c:v>
                    </c:pt>
                  </c:strCache>
                </c:strRef>
              </c:tx>
              <c:showLegendKey val="0"/>
              <c:showVal val="1"/>
              <c:showCatName val="0"/>
              <c:showSerName val="0"/>
              <c:showPercent val="0"/>
              <c:showBubbleSize val="0"/>
            </c:dLbl>
            <c:dLbl>
              <c:idx val="11"/>
              <c:layout/>
              <c:tx>
                <c:strRef>
                  <c:f>'Analysis 1'!$AA$24</c:f>
                  <c:strCache>
                    <c:ptCount val="1"/>
                    <c:pt idx="0">
                      <c:v>5</c:v>
                    </c:pt>
                  </c:strCache>
                </c:strRef>
              </c:tx>
              <c:showLegendKey val="0"/>
              <c:showVal val="1"/>
              <c:showCatName val="0"/>
              <c:showSerName val="0"/>
              <c:showPercent val="0"/>
              <c:showBubbleSize val="0"/>
            </c:dLbl>
            <c:dLbl>
              <c:idx val="12"/>
              <c:layout/>
              <c:tx>
                <c:strRef>
                  <c:f>'Analysis 1'!$AA$25</c:f>
                  <c:strCache>
                    <c:ptCount val="1"/>
                    <c:pt idx="0">
                      <c:v>10</c:v>
                    </c:pt>
                  </c:strCache>
                </c:strRef>
              </c:tx>
              <c:showLegendKey val="0"/>
              <c:showVal val="1"/>
              <c:showCatName val="0"/>
              <c:showSerName val="0"/>
              <c:showPercent val="0"/>
              <c:showBubbleSize val="0"/>
            </c:dLbl>
            <c:dLbl>
              <c:idx val="13"/>
              <c:layout/>
              <c:tx>
                <c:strRef>
                  <c:f>'Analysis 1'!$AA$26</c:f>
                  <c:strCache>
                    <c:ptCount val="1"/>
                    <c:pt idx="0">
                      <c:v>20</c:v>
                    </c:pt>
                  </c:strCache>
                </c:strRef>
              </c:tx>
              <c:showLegendKey val="0"/>
              <c:showVal val="1"/>
              <c:showCatName val="0"/>
              <c:showSerName val="0"/>
              <c:showPercent val="0"/>
              <c:showBubbleSize val="0"/>
            </c:dLbl>
            <c:dLbl>
              <c:idx val="14"/>
              <c:layout/>
              <c:tx>
                <c:strRef>
                  <c:f>'Analysis 1'!$AA$27</c:f>
                  <c:strCache>
                    <c:ptCount val="1"/>
                    <c:pt idx="0">
                      <c:v>50</c:v>
                    </c:pt>
                  </c:strCache>
                </c:strRef>
              </c:tx>
              <c:showLegendKey val="0"/>
              <c:showVal val="1"/>
              <c:showCatName val="0"/>
              <c:showSerName val="0"/>
              <c:showPercent val="0"/>
              <c:showBubbleSize val="0"/>
            </c:dLbl>
            <c:dLbl>
              <c:idx val="15"/>
              <c:layout/>
              <c:tx>
                <c:strRef>
                  <c:f>'Analysis 1'!$AA$28</c:f>
                  <c:strCache>
                    <c:ptCount val="1"/>
                    <c:pt idx="0">
                      <c:v>100</c:v>
                    </c:pt>
                  </c:strCache>
                </c:strRef>
              </c:tx>
              <c:showLegendKey val="0"/>
              <c:showVal val="1"/>
              <c:showCatName val="0"/>
              <c:showSerName val="0"/>
              <c:showPercent val="0"/>
              <c:showBubbleSize val="0"/>
            </c:dLbl>
            <c:dLbl>
              <c:idx val="16"/>
              <c:layout/>
              <c:tx>
                <c:strRef>
                  <c:f>'Analysis 1'!$AA$29</c:f>
                  <c:strCache>
                    <c:ptCount val="1"/>
                    <c:pt idx="0">
                      <c:v>200</c:v>
                    </c:pt>
                  </c:strCache>
                </c:strRef>
              </c:tx>
              <c:showLegendKey val="0"/>
              <c:showVal val="1"/>
              <c:showCatName val="0"/>
              <c:showSerName val="0"/>
              <c:showPercent val="0"/>
              <c:showBubbleSize val="0"/>
            </c:dLbl>
            <c:dLbl>
              <c:idx val="17"/>
              <c:layout/>
              <c:tx>
                <c:strRef>
                  <c:f>'Analysis 1'!$AA$30</c:f>
                  <c:strCache>
                    <c:ptCount val="1"/>
                    <c:pt idx="0">
                      <c:v>500</c:v>
                    </c:pt>
                  </c:strCache>
                </c:strRef>
              </c:tx>
              <c:showLegendKey val="0"/>
              <c:showVal val="1"/>
              <c:showCatName val="0"/>
              <c:showSerName val="0"/>
              <c:showPercent val="0"/>
              <c:showBubbleSize val="0"/>
            </c:dLbl>
            <c:dLbl>
              <c:idx val="18"/>
              <c:layout/>
              <c:tx>
                <c:strRef>
                  <c:f>'Analysis 1'!$AA$31</c:f>
                  <c:strCache>
                    <c:ptCount val="1"/>
                    <c:pt idx="0">
                      <c:v>1000</c:v>
                    </c:pt>
                  </c:strCache>
                </c:strRef>
              </c:tx>
              <c:showLegendKey val="0"/>
              <c:showVal val="1"/>
              <c:showCatName val="0"/>
              <c:showSerName val="0"/>
              <c:showPercent val="0"/>
              <c:showBubbleSize val="0"/>
            </c:dLbl>
            <c:dLbl>
              <c:idx val="19"/>
              <c:delete val="1"/>
            </c:dLbl>
            <c:dLbl>
              <c:idx val="20"/>
              <c:delete val="1"/>
            </c:dLbl>
            <c:showLegendKey val="0"/>
            <c:showVal val="1"/>
            <c:showCatName val="0"/>
            <c:showSerName val="0"/>
            <c:showPercent val="0"/>
            <c:showBubbleSize val="0"/>
            <c:showLeaderLines val="0"/>
          </c:dLbls>
          <c:xVal>
            <c:numRef>
              <c:f>'Analysis 1'!$Z$13:$Z$33</c:f>
              <c:numCache>
                <c:formatCode>General</c:formatCode>
                <c:ptCount val="2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numCache>
            </c:numRef>
          </c:xVal>
          <c:yVal>
            <c:numRef>
              <c:f>'Analysis 1'!$AB$13:$AB$33</c:f>
              <c:numCache>
                <c:formatCode>General</c:formatCode>
                <c:ptCount val="21"/>
                <c:pt idx="0">
                  <c:v>-1.0</c:v>
                </c:pt>
                <c:pt idx="1">
                  <c:v>-0.849485002168009</c:v>
                </c:pt>
                <c:pt idx="2">
                  <c:v>-0.650514997831991</c:v>
                </c:pt>
                <c:pt idx="3">
                  <c:v>-0.5</c:v>
                </c:pt>
                <c:pt idx="4">
                  <c:v>-0.349485002168009</c:v>
                </c:pt>
                <c:pt idx="5">
                  <c:v>-0.150514997831991</c:v>
                </c:pt>
                <c:pt idx="6">
                  <c:v>0.0</c:v>
                </c:pt>
                <c:pt idx="7">
                  <c:v>0.150514997831991</c:v>
                </c:pt>
                <c:pt idx="8">
                  <c:v>0.349485002168009</c:v>
                </c:pt>
                <c:pt idx="9">
                  <c:v>0.5</c:v>
                </c:pt>
                <c:pt idx="10">
                  <c:v>0.650514997831991</c:v>
                </c:pt>
                <c:pt idx="11">
                  <c:v>0.849485002168009</c:v>
                </c:pt>
                <c:pt idx="12">
                  <c:v>1.0</c:v>
                </c:pt>
                <c:pt idx="13">
                  <c:v>1.150514997831991</c:v>
                </c:pt>
                <c:pt idx="14">
                  <c:v>1.349485002168009</c:v>
                </c:pt>
                <c:pt idx="15">
                  <c:v>1.5</c:v>
                </c:pt>
                <c:pt idx="16">
                  <c:v>1.650514997831991</c:v>
                </c:pt>
                <c:pt idx="17">
                  <c:v>1.849485002168009</c:v>
                </c:pt>
                <c:pt idx="18">
                  <c:v>2.0</c:v>
                </c:pt>
                <c:pt idx="19">
                  <c:v>-2.0</c:v>
                </c:pt>
                <c:pt idx="20">
                  <c:v>3.0</c:v>
                </c:pt>
              </c:numCache>
            </c:numRef>
          </c:yVal>
          <c:smooth val="1"/>
        </c:ser>
        <c:ser>
          <c:idx val="0"/>
          <c:order val="2"/>
          <c:tx>
            <c:v>Posttest probability</c:v>
          </c:tx>
          <c:marker>
            <c:symbol val="dash"/>
            <c:size val="7"/>
          </c:marker>
          <c:dLbls>
            <c:dLbl>
              <c:idx val="0"/>
              <c:layout/>
              <c:tx>
                <c:strRef>
                  <c:f>'Analysis 1'!$AD$13</c:f>
                  <c:strCache>
                    <c:ptCount val="1"/>
                    <c:pt idx="0">
                      <c:v>0.1</c:v>
                    </c:pt>
                  </c:strCache>
                </c:strRef>
              </c:tx>
              <c:showLegendKey val="0"/>
              <c:showVal val="1"/>
              <c:showCatName val="0"/>
              <c:showSerName val="0"/>
              <c:showPercent val="0"/>
              <c:showBubbleSize val="0"/>
            </c:dLbl>
            <c:dLbl>
              <c:idx val="1"/>
              <c:layout/>
              <c:tx>
                <c:strRef>
                  <c:f>'Analysis 1'!$AD$14</c:f>
                  <c:strCache>
                    <c:ptCount val="1"/>
                    <c:pt idx="0">
                      <c:v>0.2</c:v>
                    </c:pt>
                  </c:strCache>
                </c:strRef>
              </c:tx>
              <c:showLegendKey val="0"/>
              <c:showVal val="1"/>
              <c:showCatName val="0"/>
              <c:showSerName val="0"/>
              <c:showPercent val="0"/>
              <c:showBubbleSize val="0"/>
            </c:dLbl>
            <c:dLbl>
              <c:idx val="2"/>
              <c:layout/>
              <c:tx>
                <c:strRef>
                  <c:f>'Analysis 1'!$AD$15</c:f>
                  <c:strCache>
                    <c:ptCount val="1"/>
                    <c:pt idx="0">
                      <c:v>0.5</c:v>
                    </c:pt>
                  </c:strCache>
                </c:strRef>
              </c:tx>
              <c:showLegendKey val="0"/>
              <c:showVal val="1"/>
              <c:showCatName val="0"/>
              <c:showSerName val="0"/>
              <c:showPercent val="0"/>
              <c:showBubbleSize val="0"/>
            </c:dLbl>
            <c:dLbl>
              <c:idx val="3"/>
              <c:layout/>
              <c:tx>
                <c:strRef>
                  <c:f>'Analysis 1'!$AD$16</c:f>
                  <c:strCache>
                    <c:ptCount val="1"/>
                    <c:pt idx="0">
                      <c:v>1</c:v>
                    </c:pt>
                  </c:strCache>
                </c:strRef>
              </c:tx>
              <c:showLegendKey val="0"/>
              <c:showVal val="1"/>
              <c:showCatName val="0"/>
              <c:showSerName val="0"/>
              <c:showPercent val="0"/>
              <c:showBubbleSize val="0"/>
            </c:dLbl>
            <c:dLbl>
              <c:idx val="4"/>
              <c:layout/>
              <c:tx>
                <c:strRef>
                  <c:f>'Analysis 1'!$AD$17</c:f>
                  <c:strCache>
                    <c:ptCount val="1"/>
                    <c:pt idx="0">
                      <c:v>2</c:v>
                    </c:pt>
                  </c:strCache>
                </c:strRef>
              </c:tx>
              <c:showLegendKey val="0"/>
              <c:showVal val="1"/>
              <c:showCatName val="0"/>
              <c:showSerName val="0"/>
              <c:showPercent val="0"/>
              <c:showBubbleSize val="0"/>
            </c:dLbl>
            <c:dLbl>
              <c:idx val="5"/>
              <c:layout/>
              <c:tx>
                <c:strRef>
                  <c:f>'Analysis 1'!$AD$18</c:f>
                  <c:strCache>
                    <c:ptCount val="1"/>
                    <c:pt idx="0">
                      <c:v>5</c:v>
                    </c:pt>
                  </c:strCache>
                </c:strRef>
              </c:tx>
              <c:showLegendKey val="0"/>
              <c:showVal val="1"/>
              <c:showCatName val="0"/>
              <c:showSerName val="0"/>
              <c:showPercent val="0"/>
              <c:showBubbleSize val="0"/>
            </c:dLbl>
            <c:dLbl>
              <c:idx val="6"/>
              <c:layout/>
              <c:tx>
                <c:strRef>
                  <c:f>'Analysis 1'!$AD$19</c:f>
                  <c:strCache>
                    <c:ptCount val="1"/>
                    <c:pt idx="0">
                      <c:v>10</c:v>
                    </c:pt>
                  </c:strCache>
                </c:strRef>
              </c:tx>
              <c:showLegendKey val="0"/>
              <c:showVal val="1"/>
              <c:showCatName val="0"/>
              <c:showSerName val="0"/>
              <c:showPercent val="0"/>
              <c:showBubbleSize val="0"/>
            </c:dLbl>
            <c:dLbl>
              <c:idx val="7"/>
              <c:layout/>
              <c:tx>
                <c:strRef>
                  <c:f>'Analysis 1'!$AD$20</c:f>
                  <c:strCache>
                    <c:ptCount val="1"/>
                    <c:pt idx="0">
                      <c:v>20</c:v>
                    </c:pt>
                  </c:strCache>
                </c:strRef>
              </c:tx>
              <c:showLegendKey val="0"/>
              <c:showVal val="1"/>
              <c:showCatName val="0"/>
              <c:showSerName val="0"/>
              <c:showPercent val="0"/>
              <c:showBubbleSize val="0"/>
            </c:dLbl>
            <c:dLbl>
              <c:idx val="8"/>
              <c:layout/>
              <c:tx>
                <c:strRef>
                  <c:f>'Analysis 1'!$AD$21</c:f>
                  <c:strCache>
                    <c:ptCount val="1"/>
                    <c:pt idx="0">
                      <c:v>30</c:v>
                    </c:pt>
                  </c:strCache>
                </c:strRef>
              </c:tx>
              <c:showLegendKey val="0"/>
              <c:showVal val="1"/>
              <c:showCatName val="0"/>
              <c:showSerName val="0"/>
              <c:showPercent val="0"/>
              <c:showBubbleSize val="0"/>
            </c:dLbl>
            <c:dLbl>
              <c:idx val="9"/>
              <c:layout/>
              <c:tx>
                <c:strRef>
                  <c:f>'Analysis 1'!$AD$22</c:f>
                  <c:strCache>
                    <c:ptCount val="1"/>
                    <c:pt idx="0">
                      <c:v>40</c:v>
                    </c:pt>
                  </c:strCache>
                </c:strRef>
              </c:tx>
              <c:showLegendKey val="0"/>
              <c:showVal val="1"/>
              <c:showCatName val="0"/>
              <c:showSerName val="0"/>
              <c:showPercent val="0"/>
              <c:showBubbleSize val="0"/>
            </c:dLbl>
            <c:dLbl>
              <c:idx val="10"/>
              <c:layout/>
              <c:tx>
                <c:strRef>
                  <c:f>'Analysis 1'!$AD$23</c:f>
                  <c:strCache>
                    <c:ptCount val="1"/>
                    <c:pt idx="0">
                      <c:v>50</c:v>
                    </c:pt>
                  </c:strCache>
                </c:strRef>
              </c:tx>
              <c:showLegendKey val="0"/>
              <c:showVal val="1"/>
              <c:showCatName val="0"/>
              <c:showSerName val="0"/>
              <c:showPercent val="0"/>
              <c:showBubbleSize val="0"/>
            </c:dLbl>
            <c:dLbl>
              <c:idx val="11"/>
              <c:layout/>
              <c:tx>
                <c:strRef>
                  <c:f>'Analysis 1'!$AD$24</c:f>
                  <c:strCache>
                    <c:ptCount val="1"/>
                    <c:pt idx="0">
                      <c:v>60</c:v>
                    </c:pt>
                  </c:strCache>
                </c:strRef>
              </c:tx>
              <c:showLegendKey val="0"/>
              <c:showVal val="1"/>
              <c:showCatName val="0"/>
              <c:showSerName val="0"/>
              <c:showPercent val="0"/>
              <c:showBubbleSize val="0"/>
            </c:dLbl>
            <c:dLbl>
              <c:idx val="12"/>
              <c:layout/>
              <c:tx>
                <c:strRef>
                  <c:f>'Analysis 1'!$AD$25</c:f>
                  <c:strCache>
                    <c:ptCount val="1"/>
                    <c:pt idx="0">
                      <c:v>70</c:v>
                    </c:pt>
                  </c:strCache>
                </c:strRef>
              </c:tx>
              <c:showLegendKey val="0"/>
              <c:showVal val="1"/>
              <c:showCatName val="0"/>
              <c:showSerName val="0"/>
              <c:showPercent val="0"/>
              <c:showBubbleSize val="0"/>
            </c:dLbl>
            <c:dLbl>
              <c:idx val="13"/>
              <c:layout/>
              <c:tx>
                <c:strRef>
                  <c:f>'Analysis 1'!$AD$26</c:f>
                  <c:strCache>
                    <c:ptCount val="1"/>
                    <c:pt idx="0">
                      <c:v>80</c:v>
                    </c:pt>
                  </c:strCache>
                </c:strRef>
              </c:tx>
              <c:showLegendKey val="0"/>
              <c:showVal val="1"/>
              <c:showCatName val="0"/>
              <c:showSerName val="0"/>
              <c:showPercent val="0"/>
              <c:showBubbleSize val="0"/>
            </c:dLbl>
            <c:dLbl>
              <c:idx val="14"/>
              <c:layout/>
              <c:tx>
                <c:strRef>
                  <c:f>'Analysis 1'!$AD$27</c:f>
                  <c:strCache>
                    <c:ptCount val="1"/>
                    <c:pt idx="0">
                      <c:v>90</c:v>
                    </c:pt>
                  </c:strCache>
                </c:strRef>
              </c:tx>
              <c:showLegendKey val="0"/>
              <c:showVal val="1"/>
              <c:showCatName val="0"/>
              <c:showSerName val="0"/>
              <c:showPercent val="0"/>
              <c:showBubbleSize val="0"/>
            </c:dLbl>
            <c:dLbl>
              <c:idx val="15"/>
              <c:layout/>
              <c:tx>
                <c:strRef>
                  <c:f>'Analysis 1'!$AD$28</c:f>
                  <c:strCache>
                    <c:ptCount val="1"/>
                    <c:pt idx="0">
                      <c:v>95</c:v>
                    </c:pt>
                  </c:strCache>
                </c:strRef>
              </c:tx>
              <c:showLegendKey val="0"/>
              <c:showVal val="1"/>
              <c:showCatName val="0"/>
              <c:showSerName val="0"/>
              <c:showPercent val="0"/>
              <c:showBubbleSize val="0"/>
            </c:dLbl>
            <c:dLbl>
              <c:idx val="16"/>
              <c:layout/>
              <c:tx>
                <c:strRef>
                  <c:f>'Analysis 1'!$AD$29</c:f>
                  <c:strCache>
                    <c:ptCount val="1"/>
                    <c:pt idx="0">
                      <c:v>99</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xVal>
            <c:numRef>
              <c:f>'Analysis 1'!$AC$13:$AC$29</c:f>
              <c:numCache>
                <c:formatCode>General</c:formatCode>
                <c:ptCount val="17"/>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numCache>
            </c:numRef>
          </c:xVal>
          <c:yVal>
            <c:numRef>
              <c:f>'Analysis 1'!$AE$13:$AE$29</c:f>
              <c:numCache>
                <c:formatCode>General</c:formatCode>
                <c:ptCount val="17"/>
                <c:pt idx="0">
                  <c:v>-1.999565488225982</c:v>
                </c:pt>
                <c:pt idx="1">
                  <c:v>-1.69810054562339</c:v>
                </c:pt>
                <c:pt idx="2">
                  <c:v>-1.298853076409707</c:v>
                </c:pt>
                <c:pt idx="3">
                  <c:v>-0.99563519459755</c:v>
                </c:pt>
                <c:pt idx="4">
                  <c:v>-0.690196080028514</c:v>
                </c:pt>
                <c:pt idx="5">
                  <c:v>-0.278753600952829</c:v>
                </c:pt>
                <c:pt idx="6">
                  <c:v>0.0457574905606751</c:v>
                </c:pt>
                <c:pt idx="7">
                  <c:v>0.397940008672038</c:v>
                </c:pt>
                <c:pt idx="8">
                  <c:v>0.632023214705406</c:v>
                </c:pt>
                <c:pt idx="9">
                  <c:v>0.823908740944319</c:v>
                </c:pt>
                <c:pt idx="10">
                  <c:v>1.0</c:v>
                </c:pt>
                <c:pt idx="11">
                  <c:v>1.176091259055681</c:v>
                </c:pt>
                <c:pt idx="12">
                  <c:v>1.367976785294594</c:v>
                </c:pt>
                <c:pt idx="13">
                  <c:v>1.602059991327962</c:v>
                </c:pt>
                <c:pt idx="14">
                  <c:v>1.954242509439325</c:v>
                </c:pt>
                <c:pt idx="15">
                  <c:v>2.278753600952829</c:v>
                </c:pt>
                <c:pt idx="16">
                  <c:v>2.99563519459755</c:v>
                </c:pt>
              </c:numCache>
            </c:numRef>
          </c:yVal>
          <c:smooth val="1"/>
        </c:ser>
        <c:ser>
          <c:idx val="3"/>
          <c:order val="3"/>
          <c:tx>
            <c:v>Test positive</c:v>
          </c:tx>
          <c:marker>
            <c:symbol val="circle"/>
            <c:size val="6"/>
          </c:marker>
          <c:dLbls>
            <c:delete val="1"/>
          </c:dLbls>
          <c:xVal>
            <c:numRef>
              <c:f>'Analysis 1'!$AF$13:$AF$15</c:f>
              <c:numCache>
                <c:formatCode>General</c:formatCode>
                <c:ptCount val="3"/>
                <c:pt idx="0">
                  <c:v>1.0</c:v>
                </c:pt>
                <c:pt idx="1">
                  <c:v>2.0</c:v>
                </c:pt>
                <c:pt idx="2">
                  <c:v>3.0</c:v>
                </c:pt>
              </c:numCache>
            </c:numRef>
          </c:xVal>
          <c:yVal>
            <c:numRef>
              <c:f>'Analysis 1'!$AH$13:$AH$15</c:f>
              <c:numCache>
                <c:formatCode>General</c:formatCode>
                <c:ptCount val="3"/>
                <c:pt idx="0">
                  <c:v>0.0</c:v>
                </c:pt>
                <c:pt idx="1">
                  <c:v>0.0</c:v>
                </c:pt>
                <c:pt idx="2">
                  <c:v>0.0</c:v>
                </c:pt>
              </c:numCache>
            </c:numRef>
          </c:yVal>
          <c:smooth val="1"/>
        </c:ser>
        <c:ser>
          <c:idx val="4"/>
          <c:order val="4"/>
          <c:tx>
            <c:v>Test negative</c:v>
          </c:tx>
          <c:marker>
            <c:symbol val="circle"/>
            <c:size val="6"/>
          </c:marker>
          <c:dLbls>
            <c:delete val="1"/>
          </c:dLbls>
          <c:xVal>
            <c:numRef>
              <c:f>'Analysis 1'!$AF$16:$AF$18</c:f>
              <c:numCache>
                <c:formatCode>General</c:formatCode>
                <c:ptCount val="3"/>
                <c:pt idx="0">
                  <c:v>1.0</c:v>
                </c:pt>
                <c:pt idx="1">
                  <c:v>2.0</c:v>
                </c:pt>
                <c:pt idx="2">
                  <c:v>3.0</c:v>
                </c:pt>
              </c:numCache>
            </c:numRef>
          </c:xVal>
          <c:yVal>
            <c:numRef>
              <c:f>'Analysis 1'!$AH$16:$AH$18</c:f>
              <c:numCache>
                <c:formatCode>General</c:formatCode>
                <c:ptCount val="3"/>
                <c:pt idx="0">
                  <c:v>0.0</c:v>
                </c:pt>
                <c:pt idx="1">
                  <c:v>0.0</c:v>
                </c:pt>
                <c:pt idx="2">
                  <c:v>0.0</c:v>
                </c:pt>
              </c:numCache>
            </c:numRef>
          </c:yVal>
          <c:smooth val="1"/>
        </c:ser>
        <c:dLbls>
          <c:showLegendKey val="0"/>
          <c:showVal val="1"/>
          <c:showCatName val="0"/>
          <c:showSerName val="0"/>
          <c:showPercent val="0"/>
          <c:showBubbleSize val="0"/>
        </c:dLbls>
        <c:axId val="2107439928"/>
        <c:axId val="-2136320264"/>
      </c:scatterChart>
      <c:valAx>
        <c:axId val="2107439928"/>
        <c:scaling>
          <c:orientation val="minMax"/>
        </c:scaling>
        <c:delete val="1"/>
        <c:axPos val="b"/>
        <c:numFmt formatCode="General" sourceLinked="1"/>
        <c:majorTickMark val="out"/>
        <c:minorTickMark val="none"/>
        <c:tickLblPos val="none"/>
        <c:crossAx val="-2136320264"/>
        <c:crosses val="autoZero"/>
        <c:crossBetween val="midCat"/>
      </c:valAx>
      <c:valAx>
        <c:axId val="-2136320264"/>
        <c:scaling>
          <c:orientation val="minMax"/>
          <c:max val="3.1"/>
          <c:min val="-2.1"/>
        </c:scaling>
        <c:delete val="1"/>
        <c:axPos val="l"/>
        <c:numFmt formatCode="General" sourceLinked="1"/>
        <c:majorTickMark val="out"/>
        <c:minorTickMark val="none"/>
        <c:tickLblPos val="none"/>
        <c:crossAx val="2107439928"/>
        <c:crosses val="autoZero"/>
        <c:crossBetween val="midCat"/>
      </c:valAx>
      <c:spPr>
        <a:ln w="25400">
          <a:noFill/>
        </a:ln>
      </c:spPr>
    </c:plotArea>
    <c:legend>
      <c:legendPos val="r"/>
      <c:legendEntry>
        <c:idx val="0"/>
        <c:delete val="1"/>
      </c:legendEntry>
      <c:legendEntry>
        <c:idx val="1"/>
        <c:delete val="1"/>
      </c:legendEntry>
      <c:legendEntry>
        <c:idx val="2"/>
        <c:delete val="1"/>
      </c:legendEntry>
      <c:layout/>
      <c:overlay val="0"/>
    </c:legend>
    <c:plotVisOnly val="1"/>
    <c:dispBlanksAs val="gap"/>
    <c:showDLblsOverMax val="0"/>
  </c:chart>
  <c:spPr>
    <a:ln>
      <a:noFill/>
    </a:ln>
  </c:spPr>
  <c:printSettings>
    <c:headerFooter/>
    <c:pageMargins b="0.750000000000002" l="0.700000000000001" r="0.700000000000001"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95250</xdr:colOff>
      <xdr:row>0</xdr:row>
      <xdr:rowOff>57150</xdr:rowOff>
    </xdr:from>
    <xdr:to>
      <xdr:col>19</xdr:col>
      <xdr:colOff>314325</xdr:colOff>
      <xdr:row>2</xdr:row>
      <xdr:rowOff>171450</xdr:rowOff>
    </xdr:to>
    <xdr:grpSp>
      <xdr:nvGrpSpPr>
        <xdr:cNvPr id="2" name="Group 217"/>
        <xdr:cNvGrpSpPr>
          <a:grpSpLocks/>
        </xdr:cNvGrpSpPr>
      </xdr:nvGrpSpPr>
      <xdr:grpSpPr bwMode="auto">
        <a:xfrm>
          <a:off x="8312150" y="57150"/>
          <a:ext cx="219075" cy="571500"/>
          <a:chOff x="915" y="1"/>
          <a:chExt cx="23" cy="59"/>
        </a:xfrm>
      </xdr:grpSpPr>
      <xdr:sp macro="" textlink="">
        <xdr:nvSpPr>
          <xdr:cNvPr id="3" name="Rectangle 218"/>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4" name="AutoShape 219"/>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5" name="Oval 220"/>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twoCellAnchor>
    <xdr:from>
      <xdr:col>5</xdr:col>
      <xdr:colOff>76200</xdr:colOff>
      <xdr:row>4</xdr:row>
      <xdr:rowOff>180975</xdr:rowOff>
    </xdr:from>
    <xdr:to>
      <xdr:col>10</xdr:col>
      <xdr:colOff>333375</xdr:colOff>
      <xdr:row>16</xdr:row>
      <xdr:rowOff>123825</xdr:rowOff>
    </xdr:to>
    <xdr:grpSp>
      <xdr:nvGrpSpPr>
        <xdr:cNvPr id="6" name="Group 503"/>
        <xdr:cNvGrpSpPr>
          <a:grpSpLocks/>
        </xdr:cNvGrpSpPr>
      </xdr:nvGrpSpPr>
      <xdr:grpSpPr bwMode="auto">
        <a:xfrm>
          <a:off x="2057400" y="1209675"/>
          <a:ext cx="2632075" cy="1987550"/>
          <a:chOff x="483" y="290"/>
          <a:chExt cx="199" cy="161"/>
        </a:xfrm>
      </xdr:grpSpPr>
      <xdr:sp macro="" textlink="">
        <xdr:nvSpPr>
          <xdr:cNvPr id="7" name="Line 504"/>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505"/>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clientData/>
  </xdr:twoCellAnchor>
  <xdr:twoCellAnchor>
    <xdr:from>
      <xdr:col>5</xdr:col>
      <xdr:colOff>114300</xdr:colOff>
      <xdr:row>4</xdr:row>
      <xdr:rowOff>180975</xdr:rowOff>
    </xdr:from>
    <xdr:to>
      <xdr:col>11</xdr:col>
      <xdr:colOff>9525</xdr:colOff>
      <xdr:row>4</xdr:row>
      <xdr:rowOff>180975</xdr:rowOff>
    </xdr:to>
    <xdr:sp macro="" textlink="">
      <xdr:nvSpPr>
        <xdr:cNvPr id="9" name="Line 507"/>
        <xdr:cNvSpPr>
          <a:spLocks noChangeShapeType="1"/>
        </xdr:cNvSpPr>
      </xdr:nvSpPr>
      <xdr:spPr bwMode="auto">
        <a:xfrm>
          <a:off x="1838325" y="1238250"/>
          <a:ext cx="2333625" cy="0"/>
        </a:xfrm>
        <a:prstGeom prst="line">
          <a:avLst/>
        </a:prstGeom>
        <a:noFill/>
        <a:ln w="9525">
          <a:solidFill>
            <a:srgbClr val="000000"/>
          </a:solidFill>
          <a:prstDash val="dash"/>
          <a:round/>
          <a:headEnd/>
          <a:tailEnd/>
        </a:ln>
        <a:effectLst/>
      </xdr:spPr>
    </xdr:sp>
    <xdr:clientData/>
  </xdr:twoCellAnchor>
  <xdr:twoCellAnchor>
    <xdr:from>
      <xdr:col>6</xdr:col>
      <xdr:colOff>238125</xdr:colOff>
      <xdr:row>22</xdr:row>
      <xdr:rowOff>57150</xdr:rowOff>
    </xdr:from>
    <xdr:to>
      <xdr:col>9</xdr:col>
      <xdr:colOff>219075</xdr:colOff>
      <xdr:row>31</xdr:row>
      <xdr:rowOff>47625</xdr:rowOff>
    </xdr:to>
    <xdr:grpSp>
      <xdr:nvGrpSpPr>
        <xdr:cNvPr id="10" name="Group 509"/>
        <xdr:cNvGrpSpPr>
          <a:grpSpLocks/>
        </xdr:cNvGrpSpPr>
      </xdr:nvGrpSpPr>
      <xdr:grpSpPr bwMode="auto">
        <a:xfrm>
          <a:off x="2663825" y="4044950"/>
          <a:ext cx="1441450" cy="1362075"/>
          <a:chOff x="207" y="311"/>
          <a:chExt cx="122" cy="108"/>
        </a:xfrm>
      </xdr:grpSpPr>
      <xdr:sp macro="" textlink="">
        <xdr:nvSpPr>
          <xdr:cNvPr id="11" name="Oval 497"/>
          <xdr:cNvSpPr>
            <a:spLocks noChangeArrowheads="1"/>
          </xdr:cNvSpPr>
        </xdr:nvSpPr>
        <xdr:spPr bwMode="auto">
          <a:xfrm>
            <a:off x="207" y="311"/>
            <a:ext cx="122" cy="108"/>
          </a:xfrm>
          <a:prstGeom prst="ellipse">
            <a:avLst/>
          </a:prstGeom>
          <a:noFill/>
          <a:ln w="9525">
            <a:solidFill>
              <a:srgbClr val="000000"/>
            </a:solidFill>
            <a:prstDash val="dash"/>
            <a:round/>
            <a:headEnd/>
            <a:tailEnd/>
          </a:ln>
          <a:effectLst/>
        </xdr:spPr>
      </xdr:sp>
      <xdr:sp macro="" textlink="">
        <xdr:nvSpPr>
          <xdr:cNvPr id="12" name="Oval 498"/>
          <xdr:cNvSpPr>
            <a:spLocks noChangeArrowheads="1"/>
          </xdr:cNvSpPr>
        </xdr:nvSpPr>
        <xdr:spPr bwMode="auto">
          <a:xfrm>
            <a:off x="209" y="345"/>
            <a:ext cx="119" cy="41"/>
          </a:xfrm>
          <a:prstGeom prst="ellipse">
            <a:avLst/>
          </a:prstGeom>
          <a:noFill/>
          <a:ln w="12700">
            <a:solidFill>
              <a:srgbClr val="000000"/>
            </a:solidFill>
            <a:round/>
            <a:headEnd/>
            <a:tailEnd/>
          </a:ln>
          <a:effectLst/>
        </xdr:spPr>
      </xdr:sp>
    </xdr:grpSp>
    <xdr:clientData/>
  </xdr:twoCellAnchor>
  <xdr:twoCellAnchor>
    <xdr:from>
      <xdr:col>6</xdr:col>
      <xdr:colOff>314325</xdr:colOff>
      <xdr:row>36</xdr:row>
      <xdr:rowOff>85725</xdr:rowOff>
    </xdr:from>
    <xdr:to>
      <xdr:col>9</xdr:col>
      <xdr:colOff>152400</xdr:colOff>
      <xdr:row>44</xdr:row>
      <xdr:rowOff>47625</xdr:rowOff>
    </xdr:to>
    <xdr:grpSp>
      <xdr:nvGrpSpPr>
        <xdr:cNvPr id="13" name="Group 499"/>
        <xdr:cNvGrpSpPr>
          <a:grpSpLocks/>
        </xdr:cNvGrpSpPr>
      </xdr:nvGrpSpPr>
      <xdr:grpSpPr bwMode="auto">
        <a:xfrm>
          <a:off x="2740025" y="6143625"/>
          <a:ext cx="1298575" cy="1028700"/>
          <a:chOff x="503" y="463"/>
          <a:chExt cx="100" cy="87"/>
        </a:xfrm>
      </xdr:grpSpPr>
      <xdr:sp macro="" textlink="">
        <xdr:nvSpPr>
          <xdr:cNvPr id="14" name="Rectangle 500"/>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5" name="Line 501"/>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5</xdr:col>
      <xdr:colOff>314325</xdr:colOff>
      <xdr:row>6</xdr:row>
      <xdr:rowOff>180975</xdr:rowOff>
    </xdr:from>
    <xdr:to>
      <xdr:col>10</xdr:col>
      <xdr:colOff>85725</xdr:colOff>
      <xdr:row>6</xdr:row>
      <xdr:rowOff>180975</xdr:rowOff>
    </xdr:to>
    <xdr:sp macro="" textlink="">
      <xdr:nvSpPr>
        <xdr:cNvPr id="16" name="Line 506"/>
        <xdr:cNvSpPr>
          <a:spLocks noChangeShapeType="1"/>
        </xdr:cNvSpPr>
      </xdr:nvSpPr>
      <xdr:spPr bwMode="auto">
        <a:xfrm>
          <a:off x="2038350" y="2124075"/>
          <a:ext cx="1847850" cy="0"/>
        </a:xfrm>
        <a:prstGeom prst="line">
          <a:avLst/>
        </a:prstGeom>
        <a:noFill/>
        <a:ln w="9525">
          <a:solidFill>
            <a:srgbClr val="000000"/>
          </a:solidFill>
          <a:round/>
          <a:headEnd/>
          <a:tailEnd/>
        </a:ln>
        <a:effectLst/>
      </xdr:spPr>
    </xdr:sp>
    <xdr:clientData/>
  </xdr:twoCellAnchor>
  <xdr:twoCellAnchor>
    <xdr:from>
      <xdr:col>6</xdr:col>
      <xdr:colOff>142875</xdr:colOff>
      <xdr:row>9</xdr:row>
      <xdr:rowOff>9525</xdr:rowOff>
    </xdr:from>
    <xdr:to>
      <xdr:col>9</xdr:col>
      <xdr:colOff>276225</xdr:colOff>
      <xdr:row>9</xdr:row>
      <xdr:rowOff>9525</xdr:rowOff>
    </xdr:to>
    <xdr:sp macro="" textlink="">
      <xdr:nvSpPr>
        <xdr:cNvPr id="17" name="Line 508"/>
        <xdr:cNvSpPr>
          <a:spLocks noChangeShapeType="1"/>
        </xdr:cNvSpPr>
      </xdr:nvSpPr>
      <xdr:spPr bwMode="auto">
        <a:xfrm>
          <a:off x="2257425" y="1990725"/>
          <a:ext cx="1409700" cy="0"/>
        </a:xfrm>
        <a:prstGeom prst="line">
          <a:avLst/>
        </a:prstGeom>
        <a:noFill/>
        <a:ln w="9525">
          <a:solidFill>
            <a:srgbClr val="000000"/>
          </a:solidFill>
          <a:round/>
          <a:headEnd/>
          <a:tailEnd/>
        </a:ln>
        <a:effectLst/>
      </xdr:spPr>
    </xdr:sp>
    <xdr:clientData/>
  </xdr:twoCellAnchor>
  <xdr:twoCellAnchor>
    <xdr:from>
      <xdr:col>22</xdr:col>
      <xdr:colOff>390525</xdr:colOff>
      <xdr:row>10</xdr:row>
      <xdr:rowOff>38100</xdr:rowOff>
    </xdr:from>
    <xdr:to>
      <xdr:col>34</xdr:col>
      <xdr:colOff>76200</xdr:colOff>
      <xdr:row>49</xdr:row>
      <xdr:rowOff>123826</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0.17181</cdr:x>
      <cdr:y>0.88519</cdr:y>
    </cdr:from>
    <cdr:to>
      <cdr:x>0.30895</cdr:x>
      <cdr:y>0.97734</cdr:y>
    </cdr:to>
    <cdr:sp macro="" textlink="">
      <cdr:nvSpPr>
        <cdr:cNvPr id="2" name="TextBox 1"/>
        <cdr:cNvSpPr txBox="1"/>
      </cdr:nvSpPr>
      <cdr:spPr>
        <a:xfrm xmlns:a="http://schemas.openxmlformats.org/drawingml/2006/main">
          <a:off x="661160" y="5581632"/>
          <a:ext cx="527729" cy="5810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NZ" sz="1100"/>
            <a:t>Pretest </a:t>
          </a:r>
        </a:p>
        <a:p xmlns:a="http://schemas.openxmlformats.org/drawingml/2006/main">
          <a:pPr algn="ctr"/>
          <a:r>
            <a:rPr lang="en-NZ" sz="1100"/>
            <a:t>probability</a:t>
          </a:r>
        </a:p>
      </cdr:txBody>
    </cdr:sp>
  </cdr:relSizeAnchor>
  <cdr:relSizeAnchor xmlns:cdr="http://schemas.openxmlformats.org/drawingml/2006/chartDrawing">
    <cdr:from>
      <cdr:x>0.55895</cdr:x>
      <cdr:y>0.88368</cdr:y>
    </cdr:from>
    <cdr:to>
      <cdr:x>0.69609</cdr:x>
      <cdr:y>0.97583</cdr:y>
    </cdr:to>
    <cdr:sp macro="" textlink="">
      <cdr:nvSpPr>
        <cdr:cNvPr id="3" name="TextBox 1"/>
        <cdr:cNvSpPr txBox="1"/>
      </cdr:nvSpPr>
      <cdr:spPr>
        <a:xfrm xmlns:a="http://schemas.openxmlformats.org/drawingml/2006/main">
          <a:off x="2150914" y="5572111"/>
          <a:ext cx="527728" cy="5810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Posttest</a:t>
          </a:r>
        </a:p>
        <a:p xmlns:a="http://schemas.openxmlformats.org/drawingml/2006/main">
          <a:pPr algn="ctr"/>
          <a:r>
            <a:rPr lang="en-NZ" sz="1100"/>
            <a:t>probability</a:t>
          </a:r>
        </a:p>
      </cdr:txBody>
    </cdr:sp>
  </cdr:relSizeAnchor>
  <cdr:relSizeAnchor xmlns:cdr="http://schemas.openxmlformats.org/drawingml/2006/chartDrawing">
    <cdr:from>
      <cdr:x>0.37038</cdr:x>
      <cdr:y>0.88217</cdr:y>
    </cdr:from>
    <cdr:to>
      <cdr:x>0.50752</cdr:x>
      <cdr:y>0.97432</cdr:y>
    </cdr:to>
    <cdr:sp macro="" textlink="">
      <cdr:nvSpPr>
        <cdr:cNvPr id="4" name="TextBox 1"/>
        <cdr:cNvSpPr txBox="1"/>
      </cdr:nvSpPr>
      <cdr:spPr>
        <a:xfrm xmlns:a="http://schemas.openxmlformats.org/drawingml/2006/main">
          <a:off x="1425278" y="5562590"/>
          <a:ext cx="527728" cy="5810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Likelihood</a:t>
          </a:r>
          <a:endParaRPr lang="en-NZ" sz="1100" baseline="0"/>
        </a:p>
        <a:p xmlns:a="http://schemas.openxmlformats.org/drawingml/2006/main">
          <a:pPr algn="ctr"/>
          <a:r>
            <a:rPr lang="en-NZ" sz="1100" baseline="0"/>
            <a:t>ratio</a:t>
          </a:r>
        </a:p>
      </cdr:txBody>
    </cdr:sp>
  </cdr:relSizeAnchor>
  <cdr:relSizeAnchor xmlns:cdr="http://schemas.openxmlformats.org/drawingml/2006/chartDrawing">
    <cdr:from>
      <cdr:x>0</cdr:x>
      <cdr:y>0</cdr:y>
    </cdr:from>
    <cdr:to>
      <cdr:x>0</cdr:x>
      <cdr:y>0</cdr:y>
    </cdr:to>
    <cdr:sp macro="" textlink="">
      <cdr:nvSpPr>
        <cdr:cNvPr id="6" name="Straight Connector 5"/>
        <cdr:cNvSpPr/>
      </cdr:nvSpPr>
      <cdr:spPr>
        <a:xfrm xmlns:a="http://schemas.openxmlformats.org/drawingml/2006/main">
          <a:off x="-5838825" y="-38099"/>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8" name="Straight Connector 7"/>
        <cdr:cNvSpPr/>
      </cdr:nvSpPr>
      <cdr:spPr>
        <a:xfrm xmlns:a="http://schemas.openxmlformats.org/drawingml/2006/main">
          <a:off x="-5838825" y="-38099"/>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mailto:rt.jackson@auckland.ac.nz"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4"/>
  <sheetViews>
    <sheetView showGridLines="0" tabSelected="1" zoomScaleSheetLayoutView="100" workbookViewId="0">
      <selection activeCell="D37" sqref="D37:F38"/>
    </sheetView>
  </sheetViews>
  <sheetFormatPr baseColWidth="10" defaultColWidth="8.83203125" defaultRowHeight="14" x14ac:dyDescent="0"/>
  <cols>
    <col min="1" max="1" width="3.83203125" style="4" customWidth="1"/>
    <col min="2" max="2" width="1.5" style="4" customWidth="1"/>
    <col min="3" max="3" width="11.1640625" style="4" customWidth="1"/>
    <col min="4" max="4" width="8" style="4" customWidth="1"/>
    <col min="5" max="5" width="1.5" style="4" customWidth="1"/>
    <col min="6" max="6" width="5.83203125" style="4" customWidth="1"/>
    <col min="7" max="7" width="7.1640625" style="4" customWidth="1"/>
    <col min="8" max="8" width="5.83203125" style="4" customWidth="1"/>
    <col min="9" max="10" width="6.1640625" style="4" customWidth="1"/>
    <col min="11" max="11" width="5.5" style="4" customWidth="1"/>
    <col min="12" max="12" width="6.5" style="4" customWidth="1"/>
    <col min="13" max="13" width="5.6640625" style="4" customWidth="1"/>
    <col min="14" max="20" width="5.5" style="4" customWidth="1"/>
    <col min="21" max="21" width="1.5" style="4" hidden="1" customWidth="1"/>
    <col min="22" max="22" width="5.1640625" style="4" customWidth="1"/>
    <col min="23" max="23" width="17.5" style="4" customWidth="1"/>
    <col min="24" max="24" width="9" style="4" customWidth="1"/>
    <col min="25" max="27" width="4.33203125" style="4" customWidth="1"/>
    <col min="28" max="28" width="6.6640625" style="4" customWidth="1"/>
    <col min="29" max="30" width="4.33203125" style="4" customWidth="1"/>
    <col min="31" max="31" width="6.6640625" style="4" customWidth="1"/>
    <col min="32" max="33" width="4.33203125" style="4" customWidth="1"/>
    <col min="34" max="34" width="6.6640625" style="4" customWidth="1"/>
    <col min="35" max="35" width="9.33203125" style="4" customWidth="1"/>
    <col min="36" max="16384" width="8.83203125" style="4"/>
  </cols>
  <sheetData>
    <row r="1" spans="1:36" ht="18.75" customHeight="1">
      <c r="A1" s="1"/>
      <c r="B1" s="2"/>
      <c r="C1" s="2"/>
      <c r="D1" s="2"/>
      <c r="E1" s="2"/>
      <c r="F1" s="2"/>
      <c r="G1" s="2"/>
      <c r="H1" s="2"/>
      <c r="I1" s="2"/>
      <c r="J1" s="3" t="s">
        <v>62</v>
      </c>
      <c r="K1" s="2"/>
      <c r="L1" s="2"/>
      <c r="M1" s="2"/>
      <c r="N1" s="2"/>
      <c r="O1" s="2"/>
      <c r="P1" s="2"/>
      <c r="Q1" s="2"/>
      <c r="R1" s="2"/>
      <c r="S1" s="2"/>
      <c r="T1" s="45"/>
      <c r="W1" s="4" t="s">
        <v>79</v>
      </c>
      <c r="AB1" s="201"/>
      <c r="AC1" s="201"/>
      <c r="AD1" s="201"/>
      <c r="AE1" s="201"/>
      <c r="AF1" s="201"/>
      <c r="AG1" s="201"/>
    </row>
    <row r="2" spans="1:36" ht="18.75" customHeight="1">
      <c r="A2" s="5" t="s">
        <v>70</v>
      </c>
      <c r="B2" s="6"/>
      <c r="C2" s="6"/>
      <c r="D2" s="6"/>
      <c r="E2" s="6"/>
      <c r="F2" s="6"/>
      <c r="G2" s="6"/>
      <c r="H2" s="6"/>
      <c r="I2" s="6"/>
      <c r="J2" s="6"/>
      <c r="K2" s="6"/>
      <c r="L2" s="6"/>
      <c r="M2" s="6"/>
      <c r="N2" s="6"/>
      <c r="O2" s="6"/>
      <c r="P2" s="6"/>
      <c r="Q2" s="6"/>
      <c r="R2" s="6"/>
      <c r="S2" s="6"/>
      <c r="T2" s="7"/>
      <c r="U2" s="46"/>
      <c r="V2" s="47"/>
      <c r="W2" s="4" t="s">
        <v>77</v>
      </c>
      <c r="AB2" s="201"/>
      <c r="AC2" s="201"/>
      <c r="AD2" s="201"/>
      <c r="AE2" s="201"/>
      <c r="AF2" s="201"/>
      <c r="AG2" s="201"/>
    </row>
    <row r="3" spans="1:36" ht="18.75" customHeight="1">
      <c r="A3" s="8"/>
      <c r="B3" s="9" t="s">
        <v>63</v>
      </c>
      <c r="C3" s="9"/>
      <c r="D3" s="9"/>
      <c r="E3" s="9"/>
      <c r="F3" s="9"/>
      <c r="G3" s="9"/>
      <c r="H3" s="9"/>
      <c r="I3" s="9"/>
      <c r="J3" s="9"/>
      <c r="K3" s="9"/>
      <c r="L3" s="9"/>
      <c r="M3" s="9"/>
      <c r="N3" s="9"/>
      <c r="O3" s="9"/>
      <c r="P3" s="9"/>
      <c r="Q3" s="9"/>
      <c r="R3" s="9"/>
      <c r="S3" s="9"/>
      <c r="T3" s="10"/>
      <c r="U3" s="46"/>
      <c r="V3" s="47"/>
      <c r="W3" s="4" t="s">
        <v>78</v>
      </c>
      <c r="AB3" s="201"/>
      <c r="AC3" s="201"/>
      <c r="AD3" s="201"/>
      <c r="AE3" s="201"/>
      <c r="AF3" s="201"/>
      <c r="AG3" s="201"/>
    </row>
    <row r="4" spans="1:36" s="50" customFormat="1" ht="27" customHeight="1">
      <c r="A4" s="48"/>
      <c r="B4" s="217" t="s">
        <v>0</v>
      </c>
      <c r="C4" s="218"/>
      <c r="D4" s="219"/>
      <c r="E4" s="220"/>
      <c r="F4" s="221" t="s">
        <v>1</v>
      </c>
      <c r="G4" s="218"/>
      <c r="H4" s="222"/>
      <c r="I4" s="223"/>
      <c r="J4" s="221" t="s">
        <v>2</v>
      </c>
      <c r="K4" s="218"/>
      <c r="L4" s="276"/>
      <c r="M4" s="277"/>
      <c r="N4" s="277"/>
      <c r="O4" s="277"/>
      <c r="P4" s="277"/>
      <c r="Q4" s="277"/>
      <c r="R4" s="277"/>
      <c r="S4" s="277"/>
      <c r="T4" s="278"/>
      <c r="U4" s="49"/>
      <c r="V4" s="187"/>
      <c r="W4" s="187"/>
      <c r="Y4" s="198"/>
      <c r="Z4" s="4"/>
      <c r="AA4" s="4"/>
      <c r="AB4" s="201"/>
      <c r="AC4" s="201"/>
      <c r="AD4" s="201"/>
      <c r="AE4" s="201"/>
      <c r="AF4" s="201"/>
      <c r="AG4" s="201"/>
      <c r="AH4" s="4"/>
      <c r="AI4" s="4"/>
      <c r="AJ4" s="4"/>
    </row>
    <row r="5" spans="1:36" ht="15" customHeight="1">
      <c r="A5" s="237" t="s">
        <v>19</v>
      </c>
      <c r="B5" s="11"/>
      <c r="C5" s="12"/>
      <c r="D5" s="13"/>
      <c r="E5" s="51"/>
      <c r="G5" s="51"/>
      <c r="H5" s="51"/>
      <c r="I5" s="51"/>
      <c r="J5" s="14"/>
      <c r="K5" s="14"/>
      <c r="L5" s="146"/>
      <c r="M5" s="142"/>
      <c r="N5" s="175"/>
      <c r="O5" s="176"/>
      <c r="P5" s="289" t="s">
        <v>23</v>
      </c>
      <c r="Q5" s="290"/>
      <c r="R5" s="290"/>
      <c r="S5" s="290"/>
      <c r="T5" s="291"/>
      <c r="U5" s="46"/>
      <c r="V5" s="194"/>
      <c r="W5" s="199" t="s">
        <v>76</v>
      </c>
      <c r="X5" s="50"/>
      <c r="AA5" s="75" t="s">
        <v>75</v>
      </c>
      <c r="AB5" s="190" t="str">
        <f>G56</f>
        <v/>
      </c>
      <c r="AC5" s="193"/>
      <c r="AD5" s="75" t="s">
        <v>74</v>
      </c>
      <c r="AE5" s="202" t="str">
        <f>plrat</f>
        <v/>
      </c>
      <c r="AF5" s="50"/>
      <c r="AG5" s="75" t="s">
        <v>73</v>
      </c>
      <c r="AH5" s="202" t="str">
        <f>nlrat</f>
        <v/>
      </c>
    </row>
    <row r="6" spans="1:36" ht="15" customHeight="1">
      <c r="A6" s="238"/>
      <c r="B6" s="15"/>
      <c r="C6" s="224"/>
      <c r="D6" s="224"/>
      <c r="E6" s="52"/>
      <c r="H6" s="44" t="s">
        <v>8</v>
      </c>
      <c r="I6" s="47"/>
      <c r="J6" s="47"/>
      <c r="L6" s="143"/>
      <c r="M6" s="143"/>
      <c r="N6" s="145"/>
      <c r="O6" s="177"/>
      <c r="P6" s="241" t="s">
        <v>64</v>
      </c>
      <c r="Q6" s="242"/>
      <c r="R6" s="242"/>
      <c r="S6" s="242"/>
      <c r="T6" s="243"/>
      <c r="U6" s="46"/>
      <c r="V6" s="194"/>
      <c r="AA6" s="75"/>
      <c r="AB6" s="192"/>
      <c r="AD6" s="195"/>
      <c r="AE6" s="189"/>
      <c r="AF6" s="196"/>
      <c r="AG6" s="195"/>
      <c r="AH6" s="189"/>
      <c r="AI6" s="51"/>
    </row>
    <row r="7" spans="1:36" ht="15" customHeight="1">
      <c r="A7" s="238"/>
      <c r="B7" s="15"/>
      <c r="C7" s="224"/>
      <c r="D7" s="224"/>
      <c r="E7" s="52"/>
      <c r="F7" s="52"/>
      <c r="L7" s="143"/>
      <c r="M7" s="143"/>
      <c r="N7" s="145"/>
      <c r="O7" s="177"/>
      <c r="P7" s="244"/>
      <c r="Q7" s="242"/>
      <c r="R7" s="242"/>
      <c r="S7" s="242"/>
      <c r="T7" s="243"/>
      <c r="U7" s="46"/>
      <c r="V7" s="47"/>
      <c r="W7" s="197" t="s">
        <v>80</v>
      </c>
      <c r="X7" s="50"/>
      <c r="AA7" s="75" t="s">
        <v>75</v>
      </c>
      <c r="AB7" s="183"/>
      <c r="AC7" s="182"/>
      <c r="AD7" s="75" t="s">
        <v>74</v>
      </c>
      <c r="AE7" s="184"/>
      <c r="AF7" s="50"/>
      <c r="AG7" s="75" t="s">
        <v>73</v>
      </c>
      <c r="AH7" s="184"/>
      <c r="AJ7" s="50"/>
    </row>
    <row r="8" spans="1:36" ht="15" customHeight="1">
      <c r="A8" s="238"/>
      <c r="B8" s="15"/>
      <c r="C8" s="15"/>
      <c r="D8" s="15"/>
      <c r="E8" s="52"/>
      <c r="F8" s="52"/>
      <c r="H8" s="44" t="s">
        <v>9</v>
      </c>
      <c r="L8" s="147"/>
      <c r="M8" s="143"/>
      <c r="N8" s="145"/>
      <c r="O8" s="177"/>
      <c r="P8" s="245" t="s">
        <v>65</v>
      </c>
      <c r="Q8" s="246"/>
      <c r="R8" s="246"/>
      <c r="S8" s="246"/>
      <c r="T8" s="247"/>
      <c r="U8" s="46"/>
      <c r="X8" s="188"/>
      <c r="Y8" s="188"/>
      <c r="Z8" s="188"/>
      <c r="AB8" s="50"/>
      <c r="AC8" s="193"/>
      <c r="AD8" s="186"/>
      <c r="AE8" s="189"/>
      <c r="AF8" s="185"/>
      <c r="AG8" s="186"/>
      <c r="AH8" s="189"/>
    </row>
    <row r="9" spans="1:36" ht="15" customHeight="1">
      <c r="A9" s="238"/>
      <c r="B9" s="17"/>
      <c r="C9" s="15"/>
      <c r="D9" s="15"/>
      <c r="E9" s="52"/>
      <c r="F9" s="52"/>
      <c r="L9" s="143"/>
      <c r="M9" s="143"/>
      <c r="N9" s="145"/>
      <c r="O9" s="177"/>
      <c r="P9" s="292" t="s">
        <v>60</v>
      </c>
      <c r="Q9" s="293"/>
      <c r="R9" s="293"/>
      <c r="S9" s="293"/>
      <c r="T9" s="294"/>
      <c r="U9" s="53"/>
      <c r="V9" s="154"/>
      <c r="W9" s="199" t="s">
        <v>81</v>
      </c>
      <c r="X9" s="185"/>
      <c r="Z9" s="92"/>
      <c r="AA9" s="75" t="s">
        <v>82</v>
      </c>
      <c r="AB9" s="190" t="str">
        <f>IF(ISNUMBER(AD12),AD12/(1+AD12),"")</f>
        <v/>
      </c>
      <c r="AE9" s="193"/>
      <c r="AG9" s="186" t="s">
        <v>83</v>
      </c>
      <c r="AH9" s="191" t="str">
        <f>IF(ISNUMBER(AG12),AG12/(1+AG12),"")</f>
        <v/>
      </c>
    </row>
    <row r="10" spans="1:36" ht="12.75" customHeight="1">
      <c r="A10" s="238"/>
      <c r="B10" s="15"/>
      <c r="C10" s="15"/>
      <c r="D10" s="15"/>
      <c r="E10" s="52"/>
      <c r="F10" s="52"/>
      <c r="H10" s="225" t="s">
        <v>10</v>
      </c>
      <c r="I10" s="225"/>
      <c r="J10" s="16"/>
      <c r="L10" s="143"/>
      <c r="M10" s="143"/>
      <c r="N10" s="145"/>
      <c r="O10" s="177"/>
      <c r="P10" s="292"/>
      <c r="Q10" s="293"/>
      <c r="R10" s="293"/>
      <c r="S10" s="293"/>
      <c r="T10" s="294"/>
      <c r="U10" s="53"/>
      <c r="V10" s="151"/>
      <c r="W10" s="199"/>
      <c r="X10" s="185"/>
      <c r="Z10" s="92"/>
      <c r="AA10" s="75"/>
      <c r="AB10" s="192"/>
      <c r="AC10" s="92"/>
      <c r="AD10" s="92"/>
      <c r="AE10" s="193"/>
      <c r="AF10" s="92"/>
      <c r="AG10" s="186"/>
      <c r="AH10" s="200"/>
    </row>
    <row r="11" spans="1:36" ht="14.25" customHeight="1">
      <c r="A11" s="238"/>
      <c r="B11" s="17"/>
      <c r="C11" s="15"/>
      <c r="D11" s="15"/>
      <c r="E11" s="54"/>
      <c r="F11" s="54"/>
      <c r="H11" s="225" t="s">
        <v>22</v>
      </c>
      <c r="I11" s="225"/>
      <c r="J11" s="16"/>
      <c r="K11" s="181" t="s">
        <v>66</v>
      </c>
      <c r="L11" s="143"/>
      <c r="M11" s="143"/>
      <c r="N11" s="145"/>
      <c r="O11" s="177"/>
      <c r="P11" s="292"/>
      <c r="Q11" s="293"/>
      <c r="R11" s="293"/>
      <c r="S11" s="293"/>
      <c r="T11" s="294"/>
      <c r="U11" s="53"/>
      <c r="V11" s="151"/>
      <c r="W11" s="203"/>
      <c r="X11" s="204"/>
      <c r="Y11" s="205"/>
      <c r="Z11" s="205"/>
      <c r="AA11" s="206"/>
      <c r="AB11" s="207"/>
      <c r="AC11" s="208"/>
      <c r="AD11" s="209"/>
      <c r="AE11" s="210"/>
      <c r="AF11" s="204"/>
      <c r="AG11" s="209"/>
      <c r="AH11" s="207"/>
    </row>
    <row r="12" spans="1:36" ht="12.75" customHeight="1">
      <c r="A12" s="238"/>
      <c r="B12" s="17"/>
      <c r="C12" s="17"/>
      <c r="D12" s="17"/>
      <c r="E12" s="55"/>
      <c r="F12" s="55"/>
      <c r="H12" s="234"/>
      <c r="I12" s="234"/>
      <c r="K12" s="253"/>
      <c r="L12" s="254"/>
      <c r="M12" s="254"/>
      <c r="N12" s="254"/>
      <c r="O12" s="177"/>
      <c r="P12" s="258" t="s">
        <v>84</v>
      </c>
      <c r="Q12" s="259"/>
      <c r="R12" s="259"/>
      <c r="S12" s="259"/>
      <c r="T12" s="260"/>
      <c r="U12" s="53"/>
      <c r="V12" s="151"/>
      <c r="W12" s="211"/>
      <c r="X12" s="211"/>
      <c r="Y12" s="211"/>
      <c r="Z12" s="211"/>
      <c r="AA12" s="211"/>
      <c r="AB12" s="211"/>
      <c r="AC12" s="211"/>
      <c r="AD12" s="211" t="e">
        <f>IF(ISNUMBER(AB7),AB7,AB5)/(1-IF(ISNUMBER(AB7),AB7,AB5))*IF(ISNUMBER(AE7),AE7,AE5)</f>
        <v>#VALUE!</v>
      </c>
      <c r="AE12" s="211"/>
      <c r="AF12" s="211"/>
      <c r="AG12" s="211" t="e">
        <f>IF(ISNUMBER(AB7),AB7,AB5)/(1-IF(ISNUMBER(AB7),AB7,AB5))*IF(ISNUMBER(AH7),AH7,AH5)</f>
        <v>#VALUE!</v>
      </c>
      <c r="AH12" s="210"/>
    </row>
    <row r="13" spans="1:36" ht="12.75" customHeight="1">
      <c r="A13" s="238"/>
      <c r="B13" s="17"/>
      <c r="C13" s="17"/>
      <c r="D13" s="17"/>
      <c r="L13" s="147"/>
      <c r="M13" s="143"/>
      <c r="N13" s="145"/>
      <c r="O13" s="177"/>
      <c r="P13" s="258"/>
      <c r="Q13" s="259"/>
      <c r="R13" s="259"/>
      <c r="S13" s="259"/>
      <c r="T13" s="260"/>
      <c r="U13" s="53"/>
      <c r="V13" s="152"/>
      <c r="W13" s="212">
        <v>1</v>
      </c>
      <c r="X13" s="212">
        <v>99</v>
      </c>
      <c r="Y13" s="212">
        <f>-LOG((X13/100)/(1-X13/100))</f>
        <v>-1.9956351945975495</v>
      </c>
      <c r="Z13" s="212">
        <v>2</v>
      </c>
      <c r="AA13" s="212">
        <v>1E-3</v>
      </c>
      <c r="AB13" s="212">
        <f>0.5+LOG(AA13)/2</f>
        <v>-1</v>
      </c>
      <c r="AC13" s="212">
        <v>3</v>
      </c>
      <c r="AD13" s="212">
        <v>0.1</v>
      </c>
      <c r="AE13" s="212">
        <f>LOG((AD13/100)/(1-AD13/100))+1</f>
        <v>-1.9995654882259823</v>
      </c>
      <c r="AF13" s="212">
        <v>1</v>
      </c>
      <c r="AG13" s="212"/>
      <c r="AH13" s="212" t="e">
        <f>-LOG(IF(ISNUMBER(AB7),AB7,AB5)/(1-IF(ISNUMBER(AB7),AB7,AB5)))</f>
        <v>#VALUE!</v>
      </c>
    </row>
    <row r="14" spans="1:36" ht="12.75" customHeight="1">
      <c r="A14" s="238"/>
      <c r="B14" s="18"/>
      <c r="L14" s="143"/>
      <c r="M14" s="143"/>
      <c r="N14" s="145"/>
      <c r="O14" s="177"/>
      <c r="P14" s="258"/>
      <c r="Q14" s="259"/>
      <c r="R14" s="259"/>
      <c r="S14" s="259"/>
      <c r="T14" s="260"/>
      <c r="U14" s="53"/>
      <c r="V14" s="152"/>
      <c r="W14" s="212">
        <v>1</v>
      </c>
      <c r="X14" s="212">
        <v>95</v>
      </c>
      <c r="Y14" s="212">
        <f t="shared" ref="Y14:Y29" si="0">-LOG((X14/100)/(1-X14/100))</f>
        <v>-1.2787536009528286</v>
      </c>
      <c r="Z14" s="212">
        <v>2</v>
      </c>
      <c r="AA14" s="212">
        <v>2E-3</v>
      </c>
      <c r="AB14" s="212">
        <f t="shared" ref="AB14:AB31" si="1">0.5+LOG(AA14)/2</f>
        <v>-0.84948500216800937</v>
      </c>
      <c r="AC14" s="212">
        <v>3</v>
      </c>
      <c r="AD14" s="212">
        <v>0.2</v>
      </c>
      <c r="AE14" s="212">
        <f t="shared" ref="AE14:AE29" si="2">LOG((AD14/100)/(1-AD14/100))+1</f>
        <v>-1.6981005456233897</v>
      </c>
      <c r="AF14" s="212">
        <v>2</v>
      </c>
      <c r="AG14" s="212"/>
      <c r="AH14" s="212" t="e">
        <f>0.5+LOG(IF(ISNUMBER(AE7),AE7,AE5))/2</f>
        <v>#VALUE!</v>
      </c>
    </row>
    <row r="15" spans="1:36" ht="12.75" customHeight="1">
      <c r="A15" s="238"/>
      <c r="B15" s="56"/>
      <c r="L15" s="143"/>
      <c r="M15" s="143"/>
      <c r="N15" s="145"/>
      <c r="O15" s="177"/>
      <c r="P15" s="258"/>
      <c r="Q15" s="259"/>
      <c r="R15" s="259"/>
      <c r="S15" s="259"/>
      <c r="T15" s="260"/>
      <c r="U15" s="53"/>
      <c r="V15" s="152"/>
      <c r="W15" s="212">
        <v>1</v>
      </c>
      <c r="X15" s="212">
        <v>90</v>
      </c>
      <c r="Y15" s="212">
        <f t="shared" si="0"/>
        <v>-0.95424250943932498</v>
      </c>
      <c r="Z15" s="212">
        <v>2</v>
      </c>
      <c r="AA15" s="212">
        <v>5.0000000000000001E-3</v>
      </c>
      <c r="AB15" s="212">
        <f t="shared" si="1"/>
        <v>-0.65051499783199063</v>
      </c>
      <c r="AC15" s="212">
        <v>3</v>
      </c>
      <c r="AD15" s="212">
        <v>0.5</v>
      </c>
      <c r="AE15" s="212">
        <f t="shared" si="2"/>
        <v>-1.2988530764097068</v>
      </c>
      <c r="AF15" s="212">
        <v>3</v>
      </c>
      <c r="AG15" s="212"/>
      <c r="AH15" s="212" t="e">
        <f>LOG(AD12)+1</f>
        <v>#VALUE!</v>
      </c>
    </row>
    <row r="16" spans="1:36" ht="12.75" customHeight="1">
      <c r="A16" s="238"/>
      <c r="B16" s="56"/>
      <c r="C16" s="56"/>
      <c r="D16" s="57"/>
      <c r="L16" s="143"/>
      <c r="M16" s="143"/>
      <c r="N16" s="145"/>
      <c r="O16" s="177"/>
      <c r="P16" s="258"/>
      <c r="Q16" s="259"/>
      <c r="R16" s="259"/>
      <c r="S16" s="259"/>
      <c r="T16" s="260"/>
      <c r="U16" s="53"/>
      <c r="V16" s="152"/>
      <c r="W16" s="212">
        <v>1</v>
      </c>
      <c r="X16" s="212">
        <v>80</v>
      </c>
      <c r="Y16" s="212">
        <f t="shared" si="0"/>
        <v>-0.60205999132796251</v>
      </c>
      <c r="Z16" s="212">
        <v>2</v>
      </c>
      <c r="AA16" s="212">
        <v>0.01</v>
      </c>
      <c r="AB16" s="212">
        <f t="shared" si="1"/>
        <v>-0.5</v>
      </c>
      <c r="AC16" s="212">
        <v>3</v>
      </c>
      <c r="AD16" s="212">
        <v>1</v>
      </c>
      <c r="AE16" s="212">
        <f t="shared" si="2"/>
        <v>-0.9956351945975499</v>
      </c>
      <c r="AF16" s="212">
        <v>1</v>
      </c>
      <c r="AG16" s="212"/>
      <c r="AH16" s="212" t="e">
        <f>-LOG(IF(ISNUMBER(AB7),AB7,AB5)/(1-IF(ISNUMBER(AB7),AB7,AB5)))</f>
        <v>#VALUE!</v>
      </c>
    </row>
    <row r="17" spans="1:34" ht="12.75" customHeight="1">
      <c r="A17" s="239"/>
      <c r="B17" s="58"/>
      <c r="C17" s="46"/>
      <c r="H17" s="59"/>
      <c r="I17" s="59"/>
      <c r="L17" s="148"/>
      <c r="M17" s="148"/>
      <c r="N17" s="149"/>
      <c r="O17" s="178"/>
      <c r="P17" s="258"/>
      <c r="Q17" s="259"/>
      <c r="R17" s="259"/>
      <c r="S17" s="259"/>
      <c r="T17" s="260"/>
      <c r="U17" s="53"/>
      <c r="V17" s="152"/>
      <c r="W17" s="212">
        <v>1</v>
      </c>
      <c r="X17" s="212">
        <v>70</v>
      </c>
      <c r="Y17" s="212">
        <f t="shared" si="0"/>
        <v>-0.36797678529459432</v>
      </c>
      <c r="Z17" s="212">
        <v>2</v>
      </c>
      <c r="AA17" s="212">
        <v>0.02</v>
      </c>
      <c r="AB17" s="212">
        <f t="shared" si="1"/>
        <v>-0.34948500216800937</v>
      </c>
      <c r="AC17" s="212">
        <v>3</v>
      </c>
      <c r="AD17" s="212">
        <v>2</v>
      </c>
      <c r="AE17" s="212">
        <f t="shared" si="2"/>
        <v>-0.69019608002851363</v>
      </c>
      <c r="AF17" s="212">
        <v>2</v>
      </c>
      <c r="AG17" s="212"/>
      <c r="AH17" s="212" t="e">
        <f>0.5+LOG(IF(ISNUMBER(AH7),AH7,AH5))/2</f>
        <v>#VALUE!</v>
      </c>
    </row>
    <row r="18" spans="1:34" ht="12.75" customHeight="1">
      <c r="A18" s="226" t="s">
        <v>20</v>
      </c>
      <c r="B18" s="60"/>
      <c r="C18" s="61"/>
      <c r="D18" s="61"/>
      <c r="E18" s="62"/>
      <c r="F18" s="62"/>
      <c r="G18" s="62"/>
      <c r="H18" s="20" t="s">
        <v>24</v>
      </c>
      <c r="I18" s="21" t="s">
        <v>4</v>
      </c>
      <c r="J18" s="62"/>
      <c r="K18" s="62"/>
      <c r="L18" s="144"/>
      <c r="M18" s="143"/>
      <c r="N18" s="145"/>
      <c r="O18" s="177"/>
      <c r="P18" s="258"/>
      <c r="Q18" s="259"/>
      <c r="R18" s="259"/>
      <c r="S18" s="259"/>
      <c r="T18" s="260"/>
      <c r="U18" s="53"/>
      <c r="V18" s="152"/>
      <c r="W18" s="212">
        <v>1</v>
      </c>
      <c r="X18" s="212">
        <v>60</v>
      </c>
      <c r="Y18" s="212">
        <f t="shared" si="0"/>
        <v>-0.17609125905568118</v>
      </c>
      <c r="Z18" s="212">
        <v>2</v>
      </c>
      <c r="AA18" s="212">
        <v>0.05</v>
      </c>
      <c r="AB18" s="212">
        <f t="shared" si="1"/>
        <v>-0.15051499783199063</v>
      </c>
      <c r="AC18" s="212">
        <v>3</v>
      </c>
      <c r="AD18" s="212">
        <v>5</v>
      </c>
      <c r="AE18" s="212">
        <f t="shared" si="2"/>
        <v>-0.27875360095282886</v>
      </c>
      <c r="AF18" s="212">
        <v>3</v>
      </c>
      <c r="AG18" s="212"/>
      <c r="AH18" s="212" t="e">
        <f>LOG(AG12)+1</f>
        <v>#VALUE!</v>
      </c>
    </row>
    <row r="19" spans="1:34" ht="12.75" customHeight="1">
      <c r="A19" s="227"/>
      <c r="B19" s="63"/>
      <c r="G19" s="19"/>
      <c r="H19" s="20" t="s">
        <v>5</v>
      </c>
      <c r="I19" s="21" t="s">
        <v>6</v>
      </c>
      <c r="J19" s="46"/>
      <c r="K19" s="46"/>
      <c r="L19" s="143"/>
      <c r="M19" s="143"/>
      <c r="N19" s="145"/>
      <c r="O19" s="177"/>
      <c r="P19" s="258"/>
      <c r="Q19" s="259"/>
      <c r="R19" s="259"/>
      <c r="S19" s="259"/>
      <c r="T19" s="260"/>
      <c r="U19" s="53"/>
      <c r="V19" s="152"/>
      <c r="W19" s="212">
        <v>1</v>
      </c>
      <c r="X19" s="212">
        <v>50</v>
      </c>
      <c r="Y19" s="212">
        <f t="shared" si="0"/>
        <v>0</v>
      </c>
      <c r="Z19" s="212">
        <v>2</v>
      </c>
      <c r="AA19" s="212">
        <v>0.1</v>
      </c>
      <c r="AB19" s="212">
        <f t="shared" si="1"/>
        <v>0</v>
      </c>
      <c r="AC19" s="212">
        <v>3</v>
      </c>
      <c r="AD19" s="212">
        <v>10</v>
      </c>
      <c r="AE19" s="212">
        <f t="shared" si="2"/>
        <v>4.5757490560675129E-2</v>
      </c>
      <c r="AF19" s="212"/>
      <c r="AG19" s="212"/>
      <c r="AH19" s="212"/>
    </row>
    <row r="20" spans="1:34" ht="12.75" customHeight="1">
      <c r="A20" s="227"/>
      <c r="C20" s="229" t="s">
        <v>67</v>
      </c>
      <c r="D20" s="230"/>
      <c r="E20" s="230"/>
      <c r="F20" s="230"/>
      <c r="G20" s="46"/>
      <c r="H20" s="20"/>
      <c r="I20" s="21"/>
      <c r="J20" s="46"/>
      <c r="K20" s="46"/>
      <c r="L20" s="143"/>
      <c r="M20" s="143"/>
      <c r="N20" s="145"/>
      <c r="O20" s="177"/>
      <c r="P20" s="258"/>
      <c r="Q20" s="259"/>
      <c r="R20" s="259"/>
      <c r="S20" s="259"/>
      <c r="T20" s="260"/>
      <c r="U20" s="53"/>
      <c r="V20" s="152"/>
      <c r="W20" s="212">
        <v>1</v>
      </c>
      <c r="X20" s="212">
        <v>40</v>
      </c>
      <c r="Y20" s="212">
        <f t="shared" si="0"/>
        <v>0.17609125905568118</v>
      </c>
      <c r="Z20" s="212">
        <v>2</v>
      </c>
      <c r="AA20" s="212">
        <v>0.2</v>
      </c>
      <c r="AB20" s="212">
        <f t="shared" si="1"/>
        <v>0.15051499783199063</v>
      </c>
      <c r="AC20" s="212">
        <v>3</v>
      </c>
      <c r="AD20" s="212">
        <v>20</v>
      </c>
      <c r="AE20" s="212">
        <f t="shared" si="2"/>
        <v>0.3979400086720376</v>
      </c>
      <c r="AF20" s="212"/>
      <c r="AG20" s="212"/>
      <c r="AH20" s="212"/>
    </row>
    <row r="21" spans="1:34" ht="12.75" customHeight="1">
      <c r="A21" s="227"/>
      <c r="B21" s="24"/>
      <c r="C21" s="229"/>
      <c r="D21" s="231"/>
      <c r="E21" s="231"/>
      <c r="F21" s="231"/>
      <c r="G21" s="24"/>
      <c r="H21" s="16"/>
      <c r="I21" s="23"/>
      <c r="J21" s="24"/>
      <c r="L21" s="143"/>
      <c r="M21" s="143"/>
      <c r="N21" s="145"/>
      <c r="O21" s="177"/>
      <c r="P21" s="258"/>
      <c r="Q21" s="259"/>
      <c r="R21" s="259"/>
      <c r="S21" s="259"/>
      <c r="T21" s="260"/>
      <c r="U21" s="53"/>
      <c r="V21" s="152"/>
      <c r="W21" s="212">
        <v>1</v>
      </c>
      <c r="X21" s="212">
        <v>30</v>
      </c>
      <c r="Y21" s="212">
        <f t="shared" si="0"/>
        <v>0.36797678529459438</v>
      </c>
      <c r="Z21" s="212">
        <v>2</v>
      </c>
      <c r="AA21" s="212">
        <v>0.5</v>
      </c>
      <c r="AB21" s="212">
        <f t="shared" si="1"/>
        <v>0.34948500216800937</v>
      </c>
      <c r="AC21" s="212">
        <v>3</v>
      </c>
      <c r="AD21" s="212">
        <v>30</v>
      </c>
      <c r="AE21" s="212">
        <f t="shared" si="2"/>
        <v>0.63202321470540568</v>
      </c>
      <c r="AF21" s="212"/>
      <c r="AG21" s="212"/>
      <c r="AH21" s="212"/>
    </row>
    <row r="22" spans="1:34" ht="12.75" customHeight="1">
      <c r="A22" s="227"/>
      <c r="C22" s="64"/>
      <c r="D22" s="65"/>
      <c r="E22" s="65"/>
      <c r="F22" s="65"/>
      <c r="G22" s="64"/>
      <c r="H22" s="66"/>
      <c r="I22" s="23"/>
      <c r="J22" s="24"/>
      <c r="L22" s="143"/>
      <c r="M22" s="143"/>
      <c r="N22" s="145"/>
      <c r="O22" s="177"/>
      <c r="P22" s="255" t="s">
        <v>69</v>
      </c>
      <c r="Q22" s="256"/>
      <c r="R22" s="256"/>
      <c r="S22" s="256"/>
      <c r="T22" s="257"/>
      <c r="U22" s="53"/>
      <c r="V22" s="152"/>
      <c r="W22" s="212">
        <v>1</v>
      </c>
      <c r="X22" s="212">
        <v>20</v>
      </c>
      <c r="Y22" s="212">
        <f t="shared" si="0"/>
        <v>0.6020599913279624</v>
      </c>
      <c r="Z22" s="212">
        <v>2</v>
      </c>
      <c r="AA22" s="212">
        <v>1</v>
      </c>
      <c r="AB22" s="212">
        <f t="shared" si="1"/>
        <v>0.5</v>
      </c>
      <c r="AC22" s="212">
        <v>3</v>
      </c>
      <c r="AD22" s="212">
        <v>40</v>
      </c>
      <c r="AE22" s="212">
        <f t="shared" si="2"/>
        <v>0.82390874094431887</v>
      </c>
      <c r="AF22" s="212"/>
      <c r="AG22" s="212"/>
      <c r="AH22" s="212"/>
    </row>
    <row r="23" spans="1:34" ht="12.75" customHeight="1">
      <c r="A23" s="227"/>
      <c r="B23" s="24" t="s">
        <v>68</v>
      </c>
      <c r="C23" s="24"/>
      <c r="E23" s="24"/>
      <c r="F23" s="24"/>
      <c r="G23" s="24"/>
      <c r="H23" s="20"/>
      <c r="I23" s="21"/>
      <c r="J23" s="25"/>
      <c r="L23" s="143"/>
      <c r="M23" s="143"/>
      <c r="N23" s="145"/>
      <c r="O23" s="177"/>
      <c r="P23" s="255"/>
      <c r="Q23" s="256"/>
      <c r="R23" s="256"/>
      <c r="S23" s="256"/>
      <c r="T23" s="257"/>
      <c r="U23" s="53"/>
      <c r="V23" s="152"/>
      <c r="W23" s="212">
        <v>1</v>
      </c>
      <c r="X23" s="212">
        <v>10</v>
      </c>
      <c r="Y23" s="212">
        <f t="shared" si="0"/>
        <v>0.95424250943932487</v>
      </c>
      <c r="Z23" s="212">
        <v>2</v>
      </c>
      <c r="AA23" s="212">
        <v>2</v>
      </c>
      <c r="AB23" s="212">
        <f t="shared" si="1"/>
        <v>0.65051499783199063</v>
      </c>
      <c r="AC23" s="212">
        <v>3</v>
      </c>
      <c r="AD23" s="212">
        <v>50</v>
      </c>
      <c r="AE23" s="212">
        <f t="shared" si="2"/>
        <v>1</v>
      </c>
      <c r="AF23" s="212"/>
      <c r="AG23" s="212"/>
      <c r="AH23" s="212"/>
    </row>
    <row r="24" spans="1:34" ht="12.75" customHeight="1">
      <c r="A24" s="227"/>
      <c r="B24" s="24" t="s">
        <v>25</v>
      </c>
      <c r="C24" s="46"/>
      <c r="D24" s="67"/>
      <c r="E24" s="46"/>
      <c r="H24" s="68"/>
      <c r="I24" s="69"/>
      <c r="L24" s="143"/>
      <c r="M24" s="143"/>
      <c r="N24" s="145"/>
      <c r="O24" s="177"/>
      <c r="P24" s="255"/>
      <c r="Q24" s="256"/>
      <c r="R24" s="256"/>
      <c r="S24" s="256"/>
      <c r="T24" s="257"/>
      <c r="U24" s="53"/>
      <c r="V24" s="153"/>
      <c r="W24" s="212">
        <v>1</v>
      </c>
      <c r="X24" s="212">
        <v>5</v>
      </c>
      <c r="Y24" s="212">
        <f t="shared" si="0"/>
        <v>1.2787536009528289</v>
      </c>
      <c r="Z24" s="212">
        <v>2</v>
      </c>
      <c r="AA24" s="212">
        <v>5</v>
      </c>
      <c r="AB24" s="212">
        <f t="shared" si="1"/>
        <v>0.84948500216800937</v>
      </c>
      <c r="AC24" s="212">
        <v>3</v>
      </c>
      <c r="AD24" s="212">
        <v>60</v>
      </c>
      <c r="AE24" s="212">
        <f t="shared" si="2"/>
        <v>1.1760912590556811</v>
      </c>
      <c r="AF24" s="212"/>
      <c r="AG24" s="212"/>
      <c r="AH24" s="212"/>
    </row>
    <row r="25" spans="1:34" ht="12.75" customHeight="1">
      <c r="A25" s="227"/>
      <c r="B25" s="26"/>
      <c r="C25" s="26"/>
      <c r="D25" s="46"/>
      <c r="E25" s="46"/>
      <c r="I25" s="70"/>
      <c r="L25" s="143"/>
      <c r="M25" s="143"/>
      <c r="N25" s="145"/>
      <c r="O25" s="177"/>
      <c r="P25" s="145"/>
      <c r="Q25" s="145"/>
      <c r="R25" s="145"/>
      <c r="S25" s="145"/>
      <c r="T25" s="179"/>
      <c r="U25" s="53"/>
      <c r="V25" s="153"/>
      <c r="W25" s="212">
        <v>1</v>
      </c>
      <c r="X25" s="212">
        <v>2</v>
      </c>
      <c r="Y25" s="212">
        <f t="shared" si="0"/>
        <v>1.6901960800285136</v>
      </c>
      <c r="Z25" s="212">
        <v>2</v>
      </c>
      <c r="AA25" s="212">
        <v>10</v>
      </c>
      <c r="AB25" s="212">
        <f t="shared" si="1"/>
        <v>1</v>
      </c>
      <c r="AC25" s="212">
        <v>3</v>
      </c>
      <c r="AD25" s="212">
        <v>70</v>
      </c>
      <c r="AE25" s="212">
        <f t="shared" si="2"/>
        <v>1.3679767852945943</v>
      </c>
      <c r="AF25" s="212"/>
      <c r="AG25" s="212"/>
      <c r="AH25" s="212"/>
    </row>
    <row r="26" spans="1:34" ht="12.75" customHeight="1">
      <c r="A26" s="227"/>
      <c r="B26" s="46"/>
      <c r="C26" s="46"/>
      <c r="D26" s="64"/>
      <c r="E26" s="71"/>
      <c r="F26" s="72"/>
      <c r="H26" s="68"/>
      <c r="I26" s="69"/>
      <c r="L26" s="144"/>
      <c r="M26" s="144"/>
      <c r="N26" s="145"/>
      <c r="O26" s="177"/>
      <c r="P26" s="145"/>
      <c r="Q26" s="145"/>
      <c r="R26" s="145"/>
      <c r="S26" s="145"/>
      <c r="T26" s="179"/>
      <c r="U26" s="53"/>
      <c r="V26" s="153"/>
      <c r="W26" s="212">
        <v>1</v>
      </c>
      <c r="X26" s="212">
        <v>1</v>
      </c>
      <c r="Y26" s="212">
        <f t="shared" si="0"/>
        <v>1.9956351945975499</v>
      </c>
      <c r="Z26" s="212">
        <v>2</v>
      </c>
      <c r="AA26" s="212">
        <v>20</v>
      </c>
      <c r="AB26" s="212">
        <f t="shared" si="1"/>
        <v>1.1505149978319906</v>
      </c>
      <c r="AC26" s="212">
        <v>3</v>
      </c>
      <c r="AD26" s="212">
        <v>80</v>
      </c>
      <c r="AE26" s="212">
        <f t="shared" si="2"/>
        <v>1.6020599913279625</v>
      </c>
      <c r="AF26" s="212"/>
      <c r="AG26" s="212"/>
      <c r="AH26" s="212"/>
    </row>
    <row r="27" spans="1:34" ht="12.75" customHeight="1">
      <c r="A27" s="227"/>
      <c r="B27" s="46"/>
      <c r="C27" s="46"/>
      <c r="D27" s="46"/>
      <c r="E27" s="46"/>
      <c r="H27" s="20" t="s">
        <v>26</v>
      </c>
      <c r="I27" s="21" t="s">
        <v>27</v>
      </c>
      <c r="L27" s="144"/>
      <c r="M27" s="144"/>
      <c r="N27" s="145"/>
      <c r="O27" s="177"/>
      <c r="P27" s="145"/>
      <c r="Q27" s="145"/>
      <c r="R27" s="145"/>
      <c r="S27" s="145"/>
      <c r="T27" s="179"/>
      <c r="U27" s="53"/>
      <c r="V27" s="153"/>
      <c r="W27" s="212">
        <v>1</v>
      </c>
      <c r="X27" s="212">
        <v>0.5</v>
      </c>
      <c r="Y27" s="212">
        <f t="shared" si="0"/>
        <v>2.2988530764097068</v>
      </c>
      <c r="Z27" s="212">
        <v>2</v>
      </c>
      <c r="AA27" s="212">
        <v>50</v>
      </c>
      <c r="AB27" s="212">
        <f t="shared" si="1"/>
        <v>1.3494850021680094</v>
      </c>
      <c r="AC27" s="212">
        <v>3</v>
      </c>
      <c r="AD27" s="212">
        <v>90</v>
      </c>
      <c r="AE27" s="212">
        <f t="shared" si="2"/>
        <v>1.954242509439325</v>
      </c>
      <c r="AF27" s="212"/>
      <c r="AG27" s="212"/>
      <c r="AH27" s="212"/>
    </row>
    <row r="28" spans="1:34" ht="12.75" customHeight="1">
      <c r="A28" s="227"/>
      <c r="B28" s="46"/>
      <c r="C28" s="46"/>
      <c r="D28" s="46" t="s">
        <v>28</v>
      </c>
      <c r="E28" s="46"/>
      <c r="H28" s="73"/>
      <c r="I28" s="74"/>
      <c r="L28" s="144"/>
      <c r="M28" s="144"/>
      <c r="N28" s="145"/>
      <c r="O28" s="177"/>
      <c r="P28" s="145"/>
      <c r="Q28" s="145"/>
      <c r="R28" s="145"/>
      <c r="S28" s="145"/>
      <c r="T28" s="179"/>
      <c r="U28" s="53"/>
      <c r="W28" s="212">
        <v>1</v>
      </c>
      <c r="X28" s="212">
        <v>0.2</v>
      </c>
      <c r="Y28" s="212">
        <f t="shared" si="0"/>
        <v>2.6981005456233897</v>
      </c>
      <c r="Z28" s="212">
        <v>2</v>
      </c>
      <c r="AA28" s="212">
        <v>100</v>
      </c>
      <c r="AB28" s="212">
        <f t="shared" si="1"/>
        <v>1.5</v>
      </c>
      <c r="AC28" s="212">
        <v>3</v>
      </c>
      <c r="AD28" s="212">
        <v>95</v>
      </c>
      <c r="AE28" s="212">
        <f t="shared" si="2"/>
        <v>2.2787536009528289</v>
      </c>
      <c r="AF28" s="212"/>
      <c r="AG28" s="212"/>
      <c r="AH28" s="212"/>
    </row>
    <row r="29" spans="1:34" ht="12.75" customHeight="1">
      <c r="A29" s="227"/>
      <c r="B29" s="46"/>
      <c r="C29" s="46"/>
      <c r="E29" s="46"/>
      <c r="F29" s="75"/>
      <c r="H29" s="76"/>
      <c r="J29" s="25"/>
      <c r="L29" s="144"/>
      <c r="M29" s="144"/>
      <c r="N29" s="145"/>
      <c r="O29" s="177"/>
      <c r="P29" s="145"/>
      <c r="Q29" s="145"/>
      <c r="R29" s="145"/>
      <c r="S29" s="145"/>
      <c r="T29" s="179"/>
      <c r="U29" s="53"/>
      <c r="W29" s="212">
        <v>1</v>
      </c>
      <c r="X29" s="212">
        <v>0.1</v>
      </c>
      <c r="Y29" s="212">
        <f t="shared" si="0"/>
        <v>2.9995654882259823</v>
      </c>
      <c r="Z29" s="212">
        <v>2</v>
      </c>
      <c r="AA29" s="212">
        <v>200</v>
      </c>
      <c r="AB29" s="212">
        <f t="shared" si="1"/>
        <v>1.6505149978319906</v>
      </c>
      <c r="AC29" s="212">
        <v>3</v>
      </c>
      <c r="AD29" s="212">
        <v>99</v>
      </c>
      <c r="AE29" s="212">
        <f t="shared" si="2"/>
        <v>2.9956351945975497</v>
      </c>
      <c r="AF29" s="212"/>
      <c r="AG29" s="212"/>
      <c r="AH29" s="212"/>
    </row>
    <row r="30" spans="1:34" ht="12.75" customHeight="1">
      <c r="A30" s="227"/>
      <c r="B30" s="46"/>
      <c r="D30" s="64" t="s">
        <v>29</v>
      </c>
      <c r="E30" s="46"/>
      <c r="F30" s="77"/>
      <c r="H30" s="235"/>
      <c r="I30" s="236"/>
      <c r="L30" s="144"/>
      <c r="M30" s="144"/>
      <c r="N30" s="145"/>
      <c r="O30" s="177"/>
      <c r="P30" s="145"/>
      <c r="Q30" s="145"/>
      <c r="R30" s="145"/>
      <c r="S30" s="145"/>
      <c r="T30" s="179"/>
      <c r="U30" s="53"/>
      <c r="V30" s="138"/>
      <c r="W30" s="213"/>
      <c r="X30" s="213"/>
      <c r="Y30" s="212"/>
      <c r="Z30" s="212">
        <v>2</v>
      </c>
      <c r="AA30" s="212">
        <v>500</v>
      </c>
      <c r="AB30" s="212">
        <f t="shared" si="1"/>
        <v>1.8494850021680094</v>
      </c>
      <c r="AC30" s="212"/>
      <c r="AD30" s="212"/>
      <c r="AE30" s="212"/>
      <c r="AF30" s="212"/>
      <c r="AG30" s="212"/>
      <c r="AH30" s="212"/>
    </row>
    <row r="31" spans="1:34" ht="12.75" customHeight="1">
      <c r="A31" s="227"/>
      <c r="B31" s="46"/>
      <c r="C31" s="46"/>
      <c r="H31" s="76"/>
      <c r="L31" s="145"/>
      <c r="M31" s="145"/>
      <c r="N31" s="145"/>
      <c r="O31" s="177"/>
      <c r="P31" s="145"/>
      <c r="Q31" s="145"/>
      <c r="R31" s="145"/>
      <c r="S31" s="145"/>
      <c r="T31" s="179"/>
      <c r="U31" s="53"/>
      <c r="V31" s="138"/>
      <c r="W31" s="212"/>
      <c r="X31" s="212"/>
      <c r="Y31" s="212"/>
      <c r="Z31" s="212">
        <v>2</v>
      </c>
      <c r="AA31" s="212">
        <v>1000</v>
      </c>
      <c r="AB31" s="212">
        <f t="shared" si="1"/>
        <v>2</v>
      </c>
      <c r="AC31" s="212"/>
      <c r="AD31" s="212"/>
      <c r="AE31" s="212"/>
      <c r="AF31" s="212"/>
      <c r="AG31" s="212"/>
      <c r="AH31" s="212"/>
    </row>
    <row r="32" spans="1:34" ht="12.75" customHeight="1">
      <c r="A32" s="227"/>
      <c r="B32" s="46"/>
      <c r="C32" s="46"/>
      <c r="H32" s="22"/>
      <c r="L32" s="145"/>
      <c r="M32" s="145"/>
      <c r="N32" s="145"/>
      <c r="O32" s="177"/>
      <c r="P32" s="145"/>
      <c r="Q32" s="145"/>
      <c r="R32" s="145"/>
      <c r="S32" s="145"/>
      <c r="T32" s="179"/>
      <c r="U32" s="53"/>
      <c r="V32" s="139"/>
      <c r="W32" s="212"/>
      <c r="X32" s="212"/>
      <c r="Y32" s="212"/>
      <c r="Z32" s="212">
        <v>2</v>
      </c>
      <c r="AA32" s="212" t="s">
        <v>71</v>
      </c>
      <c r="AB32" s="212">
        <v>-2</v>
      </c>
      <c r="AC32" s="212"/>
      <c r="AD32" s="212"/>
      <c r="AE32" s="212"/>
      <c r="AF32" s="212"/>
      <c r="AG32" s="212"/>
      <c r="AH32" s="212"/>
    </row>
    <row r="33" spans="1:36" ht="12.75" customHeight="1">
      <c r="A33" s="227"/>
      <c r="B33" s="46"/>
      <c r="C33" s="46"/>
      <c r="D33" s="232" t="s">
        <v>30</v>
      </c>
      <c r="E33" s="233"/>
      <c r="F33" s="233"/>
      <c r="G33" s="233"/>
      <c r="H33" s="78"/>
      <c r="I33" s="140"/>
      <c r="L33" s="145"/>
      <c r="M33" s="145"/>
      <c r="N33" s="145"/>
      <c r="O33" s="177"/>
      <c r="P33" s="145"/>
      <c r="Q33" s="145"/>
      <c r="R33" s="145"/>
      <c r="S33" s="145"/>
      <c r="T33" s="179"/>
      <c r="U33" s="53"/>
      <c r="V33" s="139"/>
      <c r="W33" s="212"/>
      <c r="X33" s="212"/>
      <c r="Y33" s="212"/>
      <c r="Z33" s="212">
        <v>2</v>
      </c>
      <c r="AA33" s="212" t="s">
        <v>72</v>
      </c>
      <c r="AB33" s="212">
        <v>3</v>
      </c>
      <c r="AC33" s="212"/>
      <c r="AD33" s="212"/>
      <c r="AE33" s="212"/>
      <c r="AF33" s="212"/>
      <c r="AG33" s="212"/>
      <c r="AH33" s="212"/>
    </row>
    <row r="34" spans="1:36" s="46" customFormat="1" ht="12.75" customHeight="1">
      <c r="A34" s="227"/>
      <c r="D34" s="233"/>
      <c r="E34" s="233"/>
      <c r="F34" s="233"/>
      <c r="G34" s="233"/>
      <c r="H34" s="240">
        <f>IF(pop&gt;0,(1-(egf+cgf)/pop),0)</f>
        <v>0</v>
      </c>
      <c r="I34" s="240"/>
      <c r="J34" s="79"/>
      <c r="L34" s="145"/>
      <c r="M34" s="145"/>
      <c r="N34" s="145"/>
      <c r="O34" s="177"/>
      <c r="P34" s="145"/>
      <c r="Q34" s="145"/>
      <c r="R34" s="145"/>
      <c r="S34" s="145"/>
      <c r="T34" s="179"/>
      <c r="U34" s="53"/>
      <c r="V34" s="138"/>
      <c r="W34" s="212"/>
      <c r="X34" s="212"/>
      <c r="Y34" s="212"/>
      <c r="Z34" s="212"/>
      <c r="AA34" s="212"/>
      <c r="AB34" s="212"/>
      <c r="AC34" s="212"/>
      <c r="AD34" s="212"/>
      <c r="AE34" s="212"/>
      <c r="AF34" s="212"/>
      <c r="AG34" s="212"/>
      <c r="AH34" s="212"/>
      <c r="AI34" s="4"/>
    </row>
    <row r="35" spans="1:36" s="46" customFormat="1" ht="12.75" customHeight="1">
      <c r="A35" s="227"/>
      <c r="H35" s="22"/>
      <c r="J35" s="27"/>
      <c r="L35" s="145"/>
      <c r="M35" s="145"/>
      <c r="N35" s="145"/>
      <c r="O35" s="177"/>
      <c r="P35" s="145"/>
      <c r="Q35" s="145"/>
      <c r="R35" s="145"/>
      <c r="S35" s="145"/>
      <c r="T35" s="179"/>
      <c r="U35" s="53"/>
      <c r="V35" s="139"/>
      <c r="W35" s="212"/>
      <c r="X35" s="212"/>
      <c r="Y35" s="212"/>
      <c r="Z35" s="212"/>
      <c r="AA35" s="212"/>
      <c r="AB35" s="212"/>
      <c r="AC35" s="212"/>
      <c r="AD35" s="212"/>
      <c r="AE35" s="212"/>
      <c r="AF35" s="212"/>
      <c r="AG35" s="212"/>
      <c r="AH35" s="212"/>
      <c r="AI35" s="4"/>
    </row>
    <row r="36" spans="1:36" ht="7.5" customHeight="1">
      <c r="A36" s="228"/>
      <c r="B36" s="28"/>
      <c r="C36" s="80"/>
      <c r="D36" s="81"/>
      <c r="E36" s="80"/>
      <c r="F36" s="80"/>
      <c r="G36" s="80"/>
      <c r="H36" s="82"/>
      <c r="I36" s="83"/>
      <c r="J36" s="59"/>
      <c r="K36" s="59"/>
      <c r="L36" s="149"/>
      <c r="M36" s="149"/>
      <c r="N36" s="149"/>
      <c r="O36" s="178"/>
      <c r="P36" s="145"/>
      <c r="Q36" s="145"/>
      <c r="R36" s="145"/>
      <c r="S36" s="145"/>
      <c r="T36" s="179"/>
      <c r="U36" s="53"/>
      <c r="W36" s="212"/>
      <c r="X36" s="212"/>
      <c r="Y36" s="212"/>
      <c r="Z36" s="212"/>
      <c r="AA36" s="212"/>
      <c r="AB36" s="212"/>
      <c r="AC36" s="212"/>
      <c r="AD36" s="212"/>
      <c r="AE36" s="212"/>
      <c r="AF36" s="212"/>
      <c r="AG36" s="212"/>
      <c r="AH36" s="212"/>
    </row>
    <row r="37" spans="1:36" ht="12.75" customHeight="1">
      <c r="A37" s="226" t="s">
        <v>7</v>
      </c>
      <c r="B37" s="26"/>
      <c r="C37" s="261" t="s">
        <v>31</v>
      </c>
      <c r="D37" s="263"/>
      <c r="E37" s="263"/>
      <c r="F37" s="263"/>
      <c r="G37" s="46"/>
      <c r="H37" s="16"/>
      <c r="I37" s="23"/>
      <c r="J37" s="46"/>
      <c r="K37" s="46"/>
      <c r="L37" s="144"/>
      <c r="M37" s="144"/>
      <c r="N37" s="145"/>
      <c r="O37" s="177"/>
      <c r="P37" s="145"/>
      <c r="Q37" s="145"/>
      <c r="R37" s="145"/>
      <c r="S37" s="145"/>
      <c r="T37" s="179"/>
      <c r="U37" s="53"/>
      <c r="V37" s="139"/>
      <c r="W37" s="212"/>
      <c r="X37" s="212"/>
      <c r="Y37" s="212"/>
      <c r="Z37" s="212"/>
      <c r="AA37" s="212"/>
      <c r="AB37" s="212"/>
      <c r="AC37" s="212"/>
      <c r="AD37" s="212"/>
      <c r="AE37" s="212"/>
      <c r="AF37" s="212"/>
      <c r="AG37" s="212"/>
      <c r="AH37" s="212"/>
      <c r="AI37" s="46"/>
    </row>
    <row r="38" spans="1:36" ht="12.75" customHeight="1">
      <c r="A38" s="238"/>
      <c r="C38" s="262"/>
      <c r="D38" s="264"/>
      <c r="E38" s="264"/>
      <c r="F38" s="264"/>
      <c r="G38" s="29" t="s">
        <v>11</v>
      </c>
      <c r="H38" s="84" t="s">
        <v>32</v>
      </c>
      <c r="I38" s="85" t="s">
        <v>33</v>
      </c>
      <c r="J38" s="30" t="s">
        <v>12</v>
      </c>
      <c r="L38" s="144"/>
      <c r="M38" s="144"/>
      <c r="N38" s="145"/>
      <c r="O38" s="177"/>
      <c r="P38" s="145"/>
      <c r="Q38" s="145"/>
      <c r="R38" s="145"/>
      <c r="S38" s="145"/>
      <c r="T38" s="179"/>
      <c r="U38" s="53"/>
      <c r="V38" s="139"/>
      <c r="W38" s="212"/>
      <c r="X38" s="212"/>
      <c r="Y38" s="212"/>
      <c r="Z38" s="212"/>
      <c r="AA38" s="212"/>
      <c r="AB38" s="212"/>
      <c r="AC38" s="212"/>
      <c r="AD38" s="212"/>
      <c r="AE38" s="212"/>
      <c r="AF38" s="212"/>
      <c r="AG38" s="212"/>
      <c r="AH38" s="212"/>
      <c r="AI38" s="46"/>
    </row>
    <row r="39" spans="1:36" ht="6" customHeight="1">
      <c r="A39" s="238"/>
      <c r="B39" s="46"/>
      <c r="D39" s="86"/>
      <c r="E39" s="86"/>
      <c r="F39" s="86"/>
      <c r="I39" s="70"/>
      <c r="L39" s="144"/>
      <c r="M39" s="144"/>
      <c r="N39" s="145"/>
      <c r="O39" s="177"/>
      <c r="P39" s="145"/>
      <c r="Q39" s="145"/>
      <c r="R39" s="145"/>
      <c r="S39" s="145"/>
      <c r="T39" s="179"/>
      <c r="U39" s="53"/>
      <c r="V39" s="46"/>
      <c r="W39" s="212"/>
      <c r="X39" s="212"/>
      <c r="Y39" s="212"/>
      <c r="Z39" s="212"/>
      <c r="AA39" s="212"/>
      <c r="AB39" s="212"/>
      <c r="AC39" s="212"/>
      <c r="AD39" s="212"/>
      <c r="AE39" s="212"/>
      <c r="AF39" s="212"/>
      <c r="AG39" s="212"/>
      <c r="AH39" s="212"/>
    </row>
    <row r="40" spans="1:36" ht="12.75" customHeight="1">
      <c r="A40" s="238"/>
      <c r="B40" s="46"/>
      <c r="C40" s="46"/>
      <c r="D40" s="40" t="s">
        <v>36</v>
      </c>
      <c r="F40" s="87"/>
      <c r="H40" s="88"/>
      <c r="I40" s="89"/>
      <c r="K40" s="25"/>
      <c r="L40" s="144"/>
      <c r="M40" s="144"/>
      <c r="N40" s="145"/>
      <c r="O40" s="177"/>
      <c r="P40" s="145"/>
      <c r="Q40" s="145"/>
      <c r="R40" s="145"/>
      <c r="S40" s="145"/>
      <c r="T40" s="179"/>
      <c r="U40" s="53"/>
      <c r="V40" s="139"/>
      <c r="W40" s="212"/>
      <c r="X40" s="212"/>
      <c r="Y40" s="212"/>
      <c r="Z40" s="212"/>
      <c r="AA40" s="212"/>
      <c r="AB40" s="212"/>
      <c r="AC40" s="212"/>
      <c r="AD40" s="212"/>
      <c r="AE40" s="212"/>
      <c r="AF40" s="212"/>
      <c r="AG40" s="212"/>
      <c r="AH40" s="212"/>
    </row>
    <row r="41" spans="1:36" ht="12.75" customHeight="1">
      <c r="A41" s="238"/>
      <c r="B41" s="46"/>
      <c r="C41" s="46"/>
      <c r="D41" s="46"/>
      <c r="E41" s="67"/>
      <c r="I41" s="90"/>
      <c r="L41" s="144"/>
      <c r="M41" s="144"/>
      <c r="N41" s="145"/>
      <c r="O41" s="177"/>
      <c r="P41" s="145"/>
      <c r="Q41" s="145"/>
      <c r="R41" s="145"/>
      <c r="S41" s="145"/>
      <c r="T41" s="179"/>
      <c r="U41" s="53"/>
      <c r="W41" s="212"/>
      <c r="X41" s="212"/>
      <c r="Y41" s="212"/>
      <c r="Z41" s="212"/>
      <c r="AA41" s="212"/>
      <c r="AB41" s="212"/>
      <c r="AC41" s="212"/>
      <c r="AD41" s="212"/>
      <c r="AE41" s="212"/>
      <c r="AF41" s="212"/>
      <c r="AG41" s="212"/>
      <c r="AH41" s="212"/>
    </row>
    <row r="42" spans="1:36" ht="6" customHeight="1">
      <c r="A42" s="238"/>
      <c r="B42" s="46"/>
      <c r="C42" s="46"/>
      <c r="D42" s="46"/>
      <c r="E42" s="64"/>
      <c r="H42" s="25"/>
      <c r="I42" s="33"/>
      <c r="L42" s="144"/>
      <c r="M42" s="144"/>
      <c r="N42" s="145"/>
      <c r="O42" s="177"/>
      <c r="P42" s="145"/>
      <c r="Q42" s="145"/>
      <c r="R42" s="145"/>
      <c r="S42" s="145"/>
      <c r="T42" s="179"/>
      <c r="U42" s="53"/>
      <c r="W42" s="212"/>
      <c r="X42" s="212"/>
      <c r="Y42" s="212"/>
      <c r="Z42" s="212"/>
      <c r="AA42" s="212"/>
      <c r="AB42" s="212"/>
      <c r="AC42" s="212"/>
      <c r="AD42" s="212"/>
      <c r="AE42" s="212"/>
      <c r="AF42" s="212"/>
      <c r="AG42" s="212"/>
      <c r="AH42" s="212"/>
    </row>
    <row r="43" spans="1:36" s="46" customFormat="1" ht="12.75" customHeight="1">
      <c r="A43" s="238"/>
      <c r="D43" s="40" t="s">
        <v>37</v>
      </c>
      <c r="F43" s="87"/>
      <c r="G43" s="77"/>
      <c r="H43" s="91"/>
      <c r="I43" s="74"/>
      <c r="K43" s="25"/>
      <c r="L43" s="144"/>
      <c r="M43" s="144"/>
      <c r="N43" s="145"/>
      <c r="O43" s="177"/>
      <c r="P43" s="145"/>
      <c r="Q43" s="145"/>
      <c r="R43" s="145"/>
      <c r="S43" s="145"/>
      <c r="T43" s="179"/>
      <c r="U43" s="53"/>
      <c r="V43" s="4"/>
      <c r="W43" s="212"/>
      <c r="X43" s="212"/>
      <c r="Y43" s="212"/>
      <c r="Z43" s="212"/>
      <c r="AA43" s="212"/>
      <c r="AB43" s="212"/>
      <c r="AC43" s="212"/>
      <c r="AD43" s="212"/>
      <c r="AE43" s="212"/>
      <c r="AF43" s="212"/>
      <c r="AG43" s="212"/>
      <c r="AH43" s="212"/>
      <c r="AI43" s="4"/>
    </row>
    <row r="44" spans="1:36" ht="12.75" customHeight="1">
      <c r="A44" s="238"/>
      <c r="B44" s="46"/>
      <c r="C44" s="46"/>
      <c r="D44" s="46"/>
      <c r="E44" s="67"/>
      <c r="F44" s="46"/>
      <c r="G44" s="31" t="s">
        <v>13</v>
      </c>
      <c r="H44" s="93" t="s">
        <v>35</v>
      </c>
      <c r="I44" s="21" t="s">
        <v>34</v>
      </c>
      <c r="J44" s="32" t="s">
        <v>14</v>
      </c>
      <c r="K44" s="46"/>
      <c r="L44" s="144"/>
      <c r="M44" s="144"/>
      <c r="N44" s="145"/>
      <c r="O44" s="177"/>
      <c r="P44" s="145"/>
      <c r="Q44" s="145"/>
      <c r="R44" s="145"/>
      <c r="S44" s="145"/>
      <c r="T44" s="179"/>
      <c r="U44" s="53"/>
      <c r="W44" s="212"/>
      <c r="X44" s="212"/>
      <c r="Y44" s="212"/>
      <c r="Z44" s="212"/>
      <c r="AA44" s="212"/>
      <c r="AB44" s="212"/>
      <c r="AC44" s="212"/>
      <c r="AD44" s="212"/>
      <c r="AE44" s="212"/>
      <c r="AF44" s="212"/>
      <c r="AG44" s="212"/>
      <c r="AH44" s="212"/>
    </row>
    <row r="45" spans="1:36" ht="12.75" customHeight="1" thickBot="1">
      <c r="A45" s="239"/>
      <c r="B45" s="59"/>
      <c r="C45" s="59"/>
      <c r="D45" s="59"/>
      <c r="E45" s="59"/>
      <c r="F45" s="59"/>
      <c r="G45" s="59"/>
      <c r="H45" s="80"/>
      <c r="I45" s="80"/>
      <c r="J45" s="59"/>
      <c r="K45" s="59"/>
      <c r="L45" s="150"/>
      <c r="M45" s="150"/>
      <c r="N45" s="149"/>
      <c r="O45" s="178"/>
      <c r="P45" s="145"/>
      <c r="Q45" s="145"/>
      <c r="R45" s="145"/>
      <c r="S45" s="145"/>
      <c r="T45" s="179"/>
      <c r="U45" s="53"/>
      <c r="V45" s="92"/>
      <c r="W45" s="214"/>
      <c r="X45" s="214"/>
      <c r="Y45" s="214"/>
      <c r="Z45" s="214"/>
      <c r="AA45" s="214"/>
      <c r="AB45" s="214"/>
      <c r="AC45" s="214"/>
      <c r="AD45" s="214"/>
      <c r="AE45" s="214"/>
      <c r="AF45" s="214"/>
      <c r="AG45" s="214"/>
      <c r="AH45" s="214"/>
    </row>
    <row r="46" spans="1:36" ht="18.75" customHeight="1">
      <c r="A46" s="95"/>
      <c r="B46" s="34"/>
      <c r="C46" s="34"/>
      <c r="D46" s="268" t="s">
        <v>38</v>
      </c>
      <c r="E46" s="269"/>
      <c r="F46" s="269"/>
      <c r="G46" s="174">
        <v>95</v>
      </c>
      <c r="H46" s="35" t="s">
        <v>3</v>
      </c>
      <c r="I46" s="96"/>
      <c r="J46" s="96"/>
      <c r="K46" s="96"/>
      <c r="L46" s="97"/>
      <c r="M46" s="97"/>
      <c r="N46" s="96"/>
      <c r="O46" s="180" t="s">
        <v>61</v>
      </c>
      <c r="P46" s="96">
        <f>NORMSINV(1-(100-ci)/100/2)</f>
        <v>1.9599639845400536</v>
      </c>
      <c r="Q46" s="96"/>
      <c r="R46" s="96"/>
      <c r="S46" s="96"/>
      <c r="T46" s="98"/>
      <c r="U46" s="46"/>
      <c r="V46" s="99"/>
      <c r="W46" s="214"/>
      <c r="X46" s="214"/>
      <c r="Y46" s="214"/>
      <c r="Z46" s="214"/>
      <c r="AA46" s="214"/>
      <c r="AB46" s="214"/>
      <c r="AC46" s="214"/>
      <c r="AD46" s="214"/>
      <c r="AE46" s="214"/>
      <c r="AF46" s="214"/>
      <c r="AG46" s="214"/>
      <c r="AH46" s="214"/>
      <c r="AI46" s="46"/>
    </row>
    <row r="47" spans="1:36" ht="12.75" customHeight="1">
      <c r="A47" s="226" t="s">
        <v>21</v>
      </c>
      <c r="B47" s="36"/>
      <c r="C47" s="37"/>
      <c r="D47" s="37"/>
      <c r="E47" s="100"/>
      <c r="F47" s="272" t="s">
        <v>39</v>
      </c>
      <c r="G47" s="273"/>
      <c r="H47" s="273"/>
      <c r="I47" s="273"/>
      <c r="J47" s="273"/>
      <c r="K47" s="274"/>
      <c r="L47" s="272" t="s">
        <v>40</v>
      </c>
      <c r="M47" s="279"/>
      <c r="N47" s="280"/>
      <c r="O47" s="282" t="s">
        <v>41</v>
      </c>
      <c r="P47" s="282"/>
      <c r="Q47" s="282"/>
      <c r="R47" s="282"/>
      <c r="S47" s="282"/>
      <c r="T47" s="283"/>
      <c r="U47" s="53"/>
      <c r="V47" s="75"/>
      <c r="W47" s="212"/>
      <c r="X47" s="212"/>
      <c r="Y47" s="212"/>
      <c r="Z47" s="212"/>
      <c r="AA47" s="212"/>
      <c r="AB47" s="212"/>
      <c r="AC47" s="212"/>
      <c r="AD47" s="212"/>
      <c r="AE47" s="212"/>
      <c r="AF47" s="212"/>
      <c r="AG47" s="212"/>
      <c r="AH47" s="212"/>
    </row>
    <row r="48" spans="1:36" s="94" customFormat="1" ht="13.5" customHeight="1">
      <c r="A48" s="270"/>
      <c r="B48" s="38"/>
      <c r="C48" s="39"/>
      <c r="D48" s="102"/>
      <c r="E48" s="103"/>
      <c r="F48" s="248" t="s">
        <v>42</v>
      </c>
      <c r="G48" s="249"/>
      <c r="H48" s="249"/>
      <c r="I48" s="248" t="s">
        <v>43</v>
      </c>
      <c r="J48" s="249"/>
      <c r="K48" s="250"/>
      <c r="L48" s="248" t="s">
        <v>15</v>
      </c>
      <c r="M48" s="249"/>
      <c r="N48" s="250"/>
      <c r="O48" s="251" t="str">
        <f>"of " &amp; D20</f>
        <v xml:space="preserve">of </v>
      </c>
      <c r="P48" s="251"/>
      <c r="Q48" s="252"/>
      <c r="R48" s="284" t="str">
        <f>"of no " &amp; D20</f>
        <v xml:space="preserve">of no </v>
      </c>
      <c r="S48" s="251"/>
      <c r="T48" s="252"/>
      <c r="U48" s="104"/>
      <c r="V48" s="75"/>
      <c r="W48" s="212"/>
      <c r="X48" s="212"/>
      <c r="Y48" s="212"/>
      <c r="Z48" s="212"/>
      <c r="AA48" s="212"/>
      <c r="AB48" s="212"/>
      <c r="AC48" s="212"/>
      <c r="AD48" s="212"/>
      <c r="AE48" s="212"/>
      <c r="AF48" s="212"/>
      <c r="AG48" s="212"/>
      <c r="AH48" s="212"/>
      <c r="AI48" s="4"/>
      <c r="AJ48" s="4"/>
    </row>
    <row r="49" spans="1:36" ht="12.75" customHeight="1">
      <c r="A49" s="270"/>
      <c r="C49" s="275">
        <f>D37</f>
        <v>0</v>
      </c>
      <c r="D49" s="275"/>
      <c r="E49" s="105"/>
      <c r="F49" s="265" t="s">
        <v>44</v>
      </c>
      <c r="G49" s="266"/>
      <c r="H49" s="267"/>
      <c r="I49" s="265" t="s">
        <v>45</v>
      </c>
      <c r="J49" s="266"/>
      <c r="K49" s="267"/>
      <c r="L49" s="265" t="s">
        <v>46</v>
      </c>
      <c r="M49" s="266"/>
      <c r="N49" s="267"/>
      <c r="O49" s="285" t="s">
        <v>47</v>
      </c>
      <c r="P49" s="285"/>
      <c r="Q49" s="286"/>
      <c r="R49" s="287" t="s">
        <v>48</v>
      </c>
      <c r="S49" s="285"/>
      <c r="T49" s="286"/>
      <c r="U49" s="53"/>
      <c r="V49" s="106"/>
      <c r="W49" s="215"/>
      <c r="X49" s="212"/>
      <c r="Y49" s="212"/>
      <c r="Z49" s="212"/>
      <c r="AA49" s="212"/>
      <c r="AB49" s="212"/>
      <c r="AC49" s="212"/>
      <c r="AD49" s="212"/>
      <c r="AE49" s="212"/>
      <c r="AF49" s="212"/>
      <c r="AG49" s="212"/>
      <c r="AH49" s="212"/>
    </row>
    <row r="50" spans="1:36" ht="12.75" customHeight="1">
      <c r="A50" s="270"/>
      <c r="D50" s="43" t="s">
        <v>57</v>
      </c>
      <c r="E50" s="107"/>
      <c r="F50" s="108"/>
      <c r="G50" s="157" t="str">
        <f>IF(aa+cc=0,"",aa/(aa+cc))</f>
        <v/>
      </c>
      <c r="H50" s="110"/>
      <c r="I50" s="108"/>
      <c r="J50" s="157" t="str">
        <f>IF(bb+dd=0,"",bb/(bb+dd))</f>
        <v/>
      </c>
      <c r="K50" s="113"/>
      <c r="L50" s="108"/>
      <c r="M50" s="109" t="str">
        <f>IF(aa+bb=0,"",IF(aa&gt;0,IF(bb&gt;0,(aa/(aa+cc))/(bb/(bb+dd)),"∞"),"∞"))</f>
        <v/>
      </c>
      <c r="N50" s="113"/>
      <c r="O50" s="156"/>
      <c r="P50" s="111" t="str">
        <f>IF(aa+bb=0,"",aa/(aa+bb))</f>
        <v/>
      </c>
      <c r="Q50" s="110"/>
      <c r="R50" s="112"/>
      <c r="S50" s="155" t="str">
        <f>IF(aa+bb=0,"",bb/(aa+bb))</f>
        <v/>
      </c>
      <c r="T50" s="113"/>
      <c r="U50" s="53"/>
      <c r="W50" s="216"/>
      <c r="X50" s="212"/>
      <c r="Y50" s="212"/>
      <c r="Z50" s="212"/>
      <c r="AA50" s="212"/>
      <c r="AB50" s="212"/>
      <c r="AC50" s="212"/>
      <c r="AD50" s="212"/>
      <c r="AE50" s="212"/>
      <c r="AF50" s="212"/>
      <c r="AG50" s="212"/>
      <c r="AH50" s="212"/>
    </row>
    <row r="51" spans="1:36" ht="12.75" customHeight="1">
      <c r="A51" s="270"/>
      <c r="B51" s="53"/>
      <c r="C51" s="46"/>
      <c r="D51" s="42" t="str">
        <f>ci &amp; "% CIs"</f>
        <v>95% CIs</v>
      </c>
      <c r="E51" s="115"/>
      <c r="F51" s="118" t="str">
        <f>IF(aa+cc=0,"",(2*aa+zscore^2-zscore*SQRT(zscore^2+4*aa*(1-aa/(aa+cc))))/(2*(aa+cc+zscore^2)))</f>
        <v/>
      </c>
      <c r="G51" s="141" t="s">
        <v>18</v>
      </c>
      <c r="H51" s="117" t="str">
        <f>IF(aa+cc=0,"",(2*aa+zscore^2+zscore*SQRT(zscore^2+4*aa*(1-aa/(aa+cc))))/(2*(aa+cc+zscore^2)))</f>
        <v/>
      </c>
      <c r="I51" s="118" t="str">
        <f>IF(bb+dd=0,"",(2*bb+zscore^2-zscore*SQRT(zscore^2+4*bb*(1-bb/(bb+dd))))/(2*(bb+dd+zscore^2)))</f>
        <v/>
      </c>
      <c r="J51" s="141" t="s">
        <v>18</v>
      </c>
      <c r="K51" s="158" t="str">
        <f>IF(bb+dd=0,"",(2*bb+zscore^2+zscore*SQRT(zscore^2+4*bb*(1-bb/(bb+dd))))/(2*(bb+dd+zscore^2)))</f>
        <v/>
      </c>
      <c r="L51" s="163" t="str">
        <f>IF(plrat="∞","",IF(OR(aa=0,dd=0,aa+cc=0,bb+dd=0),"",EXP(LN(plrat) -zscore*SQRT(1/aa+1/bb-1/(aa+cc)-1/(bb+dd)))))</f>
        <v/>
      </c>
      <c r="M51" s="141" t="s">
        <v>18</v>
      </c>
      <c r="N51" s="164" t="str">
        <f>IF(plrat="∞","",IF(OR(aa=0,dd=0,aa+cc=0,bb+dd=0),"",EXP(LN(plrat) +zscore*SQRT(1/aa+1/bb-1/(aa+cc)-1/(bb+dd)))))</f>
        <v/>
      </c>
      <c r="O51" s="129" t="str">
        <f>IF(aa+bb=0,"",(2*aa+zscore^2-zscore*SQRT(zscore^2+4*aa*(1-aa/(aa+bb))))/(2*(aa+bb+zscore^2)))</f>
        <v/>
      </c>
      <c r="P51" s="141" t="str">
        <f>IF(O51&lt;=P50,IF(P50&lt;=Q51,"to","to ∞ to"),"to ∞ to")</f>
        <v>to</v>
      </c>
      <c r="Q51" s="119" t="str">
        <f>IF(aa+bb=0,"",(2*aa+zscore^2+zscore*SQRT(zscore^2+4*aa*(1-aa/(aa+bb))))/(2*(aa+bb+zscore^2)))</f>
        <v/>
      </c>
      <c r="R51" s="120" t="str">
        <f>IF(aa+bb=0,"",(2*bb+zscore^2-zscore*SQRT(zscore^2+4*bb*(1-bb/(aa+bb))))/(2*(aa+bb+zscore^2)))</f>
        <v/>
      </c>
      <c r="S51" s="121" t="str">
        <f>IF(R51&lt;=S50,IF(S50&lt;=T51,"to","to ∞ to"),"to ∞ to")</f>
        <v>to</v>
      </c>
      <c r="T51" s="119" t="str">
        <f>IF(aa+bb=0,"",(2*bb+zscore^2+zscore*SQRT(zscore^2+4*bb*(1-bb/(aa+bb))))/(2*(aa+bb+zscore^2)))</f>
        <v/>
      </c>
      <c r="U51" s="53"/>
      <c r="AJ51" s="94"/>
    </row>
    <row r="52" spans="1:36" ht="12.75" customHeight="1">
      <c r="A52" s="270"/>
      <c r="B52" s="53"/>
      <c r="C52" s="46"/>
      <c r="D52" s="41"/>
      <c r="E52" s="105"/>
      <c r="F52" s="265" t="s">
        <v>53</v>
      </c>
      <c r="G52" s="266"/>
      <c r="H52" s="267"/>
      <c r="I52" s="265" t="s">
        <v>52</v>
      </c>
      <c r="J52" s="266"/>
      <c r="K52" s="267"/>
      <c r="L52" s="265" t="s">
        <v>51</v>
      </c>
      <c r="M52" s="266"/>
      <c r="N52" s="267"/>
      <c r="O52" s="285" t="s">
        <v>50</v>
      </c>
      <c r="P52" s="285"/>
      <c r="Q52" s="286"/>
      <c r="R52" s="265" t="s">
        <v>49</v>
      </c>
      <c r="S52" s="266"/>
      <c r="T52" s="267"/>
      <c r="U52" s="53"/>
      <c r="AI52" s="46"/>
    </row>
    <row r="53" spans="1:36" ht="12.75" customHeight="1">
      <c r="A53" s="270"/>
      <c r="D53" s="43" t="s">
        <v>58</v>
      </c>
      <c r="E53" s="107"/>
      <c r="F53" s="108"/>
      <c r="G53" s="157" t="str">
        <f>IF(aa+cc=0,"",cc/(aa+cc))</f>
        <v/>
      </c>
      <c r="H53" s="110"/>
      <c r="I53" s="108"/>
      <c r="J53" s="157" t="str">
        <f>IF(bb+dd=0,"",dd/(bb+dd))</f>
        <v/>
      </c>
      <c r="K53" s="113"/>
      <c r="L53" s="108"/>
      <c r="M53" s="109" t="str">
        <f>IF(cc+dd=0,"",IF(cc&gt;0,IF(dd&gt;0,(cc/(aa+cc))/(dd/(bb+dd)),"∞"),"∞"))</f>
        <v/>
      </c>
      <c r="N53" s="113"/>
      <c r="O53" s="156"/>
      <c r="P53" s="155" t="str">
        <f>IF(cc+dd=0,"",cc/(cc+dd))</f>
        <v/>
      </c>
      <c r="Q53" s="110"/>
      <c r="R53" s="108"/>
      <c r="S53" s="155" t="str">
        <f>IF(cc+dd=0,"",dd/(cc+dd))</f>
        <v/>
      </c>
      <c r="T53" s="113"/>
      <c r="U53" s="53"/>
    </row>
    <row r="54" spans="1:36" ht="12" customHeight="1">
      <c r="A54" s="270"/>
      <c r="B54" s="58"/>
      <c r="C54" s="59"/>
      <c r="D54" s="42" t="str">
        <f>ci &amp; "% CIs"</f>
        <v>95% CIs</v>
      </c>
      <c r="E54" s="115"/>
      <c r="F54" s="118" t="str">
        <f>IF(aa+cc=0,"",(2*cc+zscore^2-zscore*SQRT(zscore^2+4*cc*(1-cc/(aa+cc))))/(2*(aa+cc+zscore^2)))</f>
        <v/>
      </c>
      <c r="G54" s="122" t="s">
        <v>18</v>
      </c>
      <c r="H54" s="117" t="str">
        <f>IF(aa+cc=0,"",(2*cc+zscore^2+zscore*SQRT(zscore^2+4*cc*(1-cc/(aa+cc))))/(2*(aa+cc+zscore^2)))</f>
        <v/>
      </c>
      <c r="I54" s="118" t="str">
        <f>IF(bb+dd=0,"",(2*dd+zscore^2-zscore*SQRT(zscore^2+4*dd*(1-dd/(bb+dd))))/(2*(bb+dd+zscore^2)))</f>
        <v/>
      </c>
      <c r="J54" s="122" t="s">
        <v>18</v>
      </c>
      <c r="K54" s="158" t="str">
        <f>IF(bb+dd=0,"",(2*dd+zscore^2+zscore*SQRT(zscore^2+4*dd*(1-dd/(bb+dd))))/(2*(bb+dd+zscore^2)))</f>
        <v/>
      </c>
      <c r="L54" s="163" t="str">
        <f>IF(nlrat="∞","",IF(OR(cc=0,bb=0,aa+cc=0,bb+dd=0),"",EXP(LN(nlrat) -zscore*SQRT(1/cc+1/dd-1/(aa+cc)-1/(bb+dd)))))</f>
        <v/>
      </c>
      <c r="M54" s="116" t="s">
        <v>18</v>
      </c>
      <c r="N54" s="164" t="str">
        <f>IF(nlrat="∞","",IF(OR(cc=0,bb=0,aa+cc=0,bb+dd=0),"",EXP(LN(nlrat) + zscore*SQRT(1/cc+1/dd-1/(aa+cc)-1/(bb+dd)))))</f>
        <v/>
      </c>
      <c r="O54" s="120" t="str">
        <f>IF(cc+dd=0,"",(2*cc+zscore^2-zscore*SQRT(zscore^2+4*cc*(1-cc/(cc+dd))))/(2*(cc+dd+zscore^2)))</f>
        <v/>
      </c>
      <c r="P54" s="166" t="str">
        <f>IF(O54&lt;=P53,IF(P53&lt;=Q54,"to","to ∞ to"),"to ∞ to")</f>
        <v>to</v>
      </c>
      <c r="Q54" s="130" t="str">
        <f>IF(cc+dd=0,"",(2*cc+zscore^2+zscore*SQRT(zscore^2+4*cc*(1-cc/(cc+dd))))/(2*(cc+dd+zscore^2)))</f>
        <v/>
      </c>
      <c r="R54" s="120" t="str">
        <f>IF(cc+dd=0,"",(2*dd+zscore^2-zscore*SQRT(zscore^2+4*dd*(1-dd/(cc+dd))))/(2*(cc+dd+zscore^2)))</f>
        <v/>
      </c>
      <c r="S54" s="121" t="str">
        <f>IF(R54&lt;=S53,IF(S53&lt;=T54,"to","to ∞ to"),"to ∞ to")</f>
        <v>to</v>
      </c>
      <c r="T54" s="119" t="str">
        <f>IF(cc+dd=0,"",(2*dd+zscore^2+zscore*SQRT(zscore^2+4*dd*(1-dd/(cc+dd))))/(2*(cc+dd+zscore^2)))</f>
        <v/>
      </c>
      <c r="U54" s="53"/>
      <c r="X54" s="46"/>
      <c r="Y54" s="46"/>
      <c r="Z54" s="46"/>
      <c r="AA54" s="46"/>
      <c r="AB54" s="46"/>
      <c r="AC54" s="46"/>
      <c r="AD54" s="46"/>
      <c r="AE54" s="46"/>
      <c r="AF54" s="46"/>
      <c r="AG54" s="46"/>
    </row>
    <row r="55" spans="1:36" ht="12.75" customHeight="1">
      <c r="A55" s="270"/>
      <c r="B55" s="41" t="s">
        <v>59</v>
      </c>
      <c r="E55" s="105"/>
      <c r="F55" s="265" t="s">
        <v>54</v>
      </c>
      <c r="G55" s="266"/>
      <c r="H55" s="267"/>
      <c r="I55" s="265" t="s">
        <v>55</v>
      </c>
      <c r="J55" s="266"/>
      <c r="K55" s="267"/>
      <c r="L55" s="160"/>
      <c r="M55" s="161"/>
      <c r="N55" s="162"/>
      <c r="O55" s="288" t="s">
        <v>56</v>
      </c>
      <c r="P55" s="288"/>
      <c r="Q55" s="288"/>
      <c r="R55" s="160"/>
      <c r="S55" s="161"/>
      <c r="T55" s="165"/>
      <c r="U55" s="46"/>
      <c r="AH55" s="46"/>
    </row>
    <row r="56" spans="1:36" ht="12.75" customHeight="1">
      <c r="A56" s="270"/>
      <c r="D56" s="75"/>
      <c r="E56" s="107"/>
      <c r="F56" s="108"/>
      <c r="G56" s="155" t="str">
        <f>IF(aa+bb+cc+dd=0,"",(aa+cc)/(aa+bb+cc+dd))</f>
        <v/>
      </c>
      <c r="H56" s="110"/>
      <c r="I56" s="108"/>
      <c r="J56" s="155" t="str">
        <f>IF(aa+bb+cc+dd=0,"",(bb+dd)/(aa+bb+cc+dd))</f>
        <v/>
      </c>
      <c r="K56" s="113"/>
      <c r="L56" s="167"/>
      <c r="M56" s="123"/>
      <c r="N56" s="124"/>
      <c r="O56" s="125"/>
      <c r="P56" s="155" t="str">
        <f>IF(aa+bb+cc+dd=0,"",(aa+dd)/(aa+bb+cc+dd))</f>
        <v/>
      </c>
      <c r="Q56" s="126"/>
      <c r="R56" s="125"/>
      <c r="S56" s="127"/>
      <c r="T56" s="128"/>
      <c r="U56" s="46"/>
    </row>
    <row r="57" spans="1:36" ht="12" customHeight="1">
      <c r="A57" s="271"/>
      <c r="B57" s="58"/>
      <c r="C57" s="59"/>
      <c r="D57" s="114" t="str">
        <f>ci &amp; "% CIs"</f>
        <v>95% CIs</v>
      </c>
      <c r="E57" s="115"/>
      <c r="F57" s="120" t="str">
        <f>IF(aa+bb+cc+dd=0,"",(2*(aa+cc)+zscore^2-zscore*SQRT(zscore^2+4*(aa+cc)*(1-(aa+cc)/(aa+bb+cc+dd))))/(2*(aa+bb+cc+dd+zscore^2)))</f>
        <v/>
      </c>
      <c r="G57" s="116" t="s">
        <v>18</v>
      </c>
      <c r="H57" s="130" t="str">
        <f>IF(aa+bb+cc+dd=0,"",(2*(aa+cc)+zscore^2+zscore*SQRT(zscore^2+4*(aa+cc)*(1-(aa+cc)/(aa+bb+cc+dd))))/(2*(aa+bb+cc+dd+zscore^2)))</f>
        <v/>
      </c>
      <c r="I57" s="120" t="str">
        <f>IF(aa+bb+cc+dd=0,"",(2*(bb+dd)+zscore^2-zscore*SQRT(zscore^2+4*(bb+dd)*(1-(bb+dd)/(aa+bb+cc+dd))))/(2*(aa+bb+cc+dd+zscore^2)))</f>
        <v/>
      </c>
      <c r="J57" s="116" t="s">
        <v>18</v>
      </c>
      <c r="K57" s="159" t="str">
        <f>IF(aa+bb+cc+dd=0,"",(2*(bb+dd)+zscore^2+zscore*SQRT(zscore^2+4*(bb+dd)*(1-(bb+dd)/(aa+bb+cc+dd))))/(2*(aa+bb+cc+dd+zscore^2)))</f>
        <v/>
      </c>
      <c r="L57" s="168"/>
      <c r="M57" s="169"/>
      <c r="N57" s="169"/>
      <c r="O57" s="170"/>
      <c r="P57" s="171"/>
      <c r="Q57" s="172"/>
      <c r="R57" s="173"/>
      <c r="S57" s="131"/>
      <c r="T57" s="132"/>
      <c r="U57" s="46"/>
      <c r="AI57" s="94"/>
    </row>
    <row r="58" spans="1:36" ht="12.75" customHeight="1">
      <c r="A58" s="133"/>
      <c r="B58" s="133"/>
      <c r="C58" s="133"/>
      <c r="D58" s="133"/>
      <c r="E58" s="133"/>
      <c r="F58" s="133"/>
      <c r="G58" s="133"/>
      <c r="H58" s="133"/>
      <c r="I58" s="134"/>
      <c r="J58" s="135"/>
      <c r="K58" s="134"/>
      <c r="L58" s="134"/>
      <c r="M58" s="136"/>
      <c r="N58" s="136"/>
      <c r="O58" s="136"/>
      <c r="P58" s="137" t="s">
        <v>16</v>
      </c>
      <c r="Q58" s="281" t="s">
        <v>17</v>
      </c>
      <c r="R58" s="281"/>
      <c r="S58" s="281"/>
      <c r="T58" s="281"/>
    </row>
    <row r="59" spans="1:36">
      <c r="X59" s="94"/>
      <c r="Y59" s="94"/>
      <c r="Z59" s="94"/>
      <c r="AA59" s="94"/>
      <c r="AB59" s="94"/>
      <c r="AC59" s="94"/>
      <c r="AD59" s="94"/>
      <c r="AE59" s="94"/>
      <c r="AF59" s="94"/>
      <c r="AG59" s="94"/>
    </row>
    <row r="60" spans="1:36">
      <c r="AH60" s="94"/>
    </row>
    <row r="64" spans="1:36">
      <c r="AA64" s="101"/>
    </row>
  </sheetData>
  <sheetProtection sheet="1" objects="1" scenarios="1" selectLockedCells="1"/>
  <mergeCells count="52">
    <mergeCell ref="L4:T4"/>
    <mergeCell ref="L47:N47"/>
    <mergeCell ref="Q58:T58"/>
    <mergeCell ref="O47:T47"/>
    <mergeCell ref="R48:T48"/>
    <mergeCell ref="O49:Q49"/>
    <mergeCell ref="R49:T49"/>
    <mergeCell ref="O55:Q55"/>
    <mergeCell ref="O52:Q52"/>
    <mergeCell ref="R52:T52"/>
    <mergeCell ref="L49:N49"/>
    <mergeCell ref="L52:N52"/>
    <mergeCell ref="P5:T5"/>
    <mergeCell ref="P9:T11"/>
    <mergeCell ref="A37:A45"/>
    <mergeCell ref="C37:C38"/>
    <mergeCell ref="D37:F38"/>
    <mergeCell ref="F52:H52"/>
    <mergeCell ref="I52:K52"/>
    <mergeCell ref="D46:F46"/>
    <mergeCell ref="A47:A57"/>
    <mergeCell ref="F47:K47"/>
    <mergeCell ref="F48:H48"/>
    <mergeCell ref="I48:K48"/>
    <mergeCell ref="C49:D49"/>
    <mergeCell ref="F49:H49"/>
    <mergeCell ref="I49:K49"/>
    <mergeCell ref="F55:H55"/>
    <mergeCell ref="I55:K55"/>
    <mergeCell ref="P6:T7"/>
    <mergeCell ref="P8:T8"/>
    <mergeCell ref="L48:N48"/>
    <mergeCell ref="O48:Q48"/>
    <mergeCell ref="K12:N12"/>
    <mergeCell ref="P22:T24"/>
    <mergeCell ref="P12:T21"/>
    <mergeCell ref="C6:D7"/>
    <mergeCell ref="H10:I10"/>
    <mergeCell ref="H11:I11"/>
    <mergeCell ref="A18:A36"/>
    <mergeCell ref="C20:C21"/>
    <mergeCell ref="D20:F21"/>
    <mergeCell ref="D33:G34"/>
    <mergeCell ref="H12:I12"/>
    <mergeCell ref="H30:I30"/>
    <mergeCell ref="A5:A17"/>
    <mergeCell ref="H34:I34"/>
    <mergeCell ref="B4:C4"/>
    <mergeCell ref="D4:E4"/>
    <mergeCell ref="F4:G4"/>
    <mergeCell ref="H4:I4"/>
    <mergeCell ref="J4:K4"/>
  </mergeCells>
  <conditionalFormatting sqref="P51">
    <cfRule type="expression" dxfId="13" priority="25" stopIfTrue="1">
      <formula>$O$51=$Q$51</formula>
    </cfRule>
  </conditionalFormatting>
  <conditionalFormatting sqref="S51">
    <cfRule type="expression" dxfId="12" priority="24" stopIfTrue="1">
      <formula>$R$51=$T$51</formula>
    </cfRule>
  </conditionalFormatting>
  <conditionalFormatting sqref="J57">
    <cfRule type="expression" dxfId="11" priority="22" stopIfTrue="1">
      <formula>$I$57=$K$57</formula>
    </cfRule>
  </conditionalFormatting>
  <conditionalFormatting sqref="M54">
    <cfRule type="expression" dxfId="10" priority="21" stopIfTrue="1">
      <formula>$L$54=$N$54</formula>
    </cfRule>
  </conditionalFormatting>
  <conditionalFormatting sqref="P54">
    <cfRule type="expression" dxfId="9" priority="20" stopIfTrue="1">
      <formula>$O$54=$Q$54</formula>
    </cfRule>
  </conditionalFormatting>
  <conditionalFormatting sqref="H34:I34">
    <cfRule type="expression" dxfId="8" priority="19" stopIfTrue="1">
      <formula>$H$28=""</formula>
    </cfRule>
  </conditionalFormatting>
  <conditionalFormatting sqref="S54">
    <cfRule type="expression" dxfId="7" priority="18" stopIfTrue="1">
      <formula>$R$54=$T$54</formula>
    </cfRule>
  </conditionalFormatting>
  <conditionalFormatting sqref="M51">
    <cfRule type="expression" dxfId="6" priority="17" stopIfTrue="1">
      <formula>$L$51=$N$51</formula>
    </cfRule>
  </conditionalFormatting>
  <conditionalFormatting sqref="G57">
    <cfRule type="expression" dxfId="5" priority="16" stopIfTrue="1">
      <formula>$F$57=$H$57</formula>
    </cfRule>
  </conditionalFormatting>
  <conditionalFormatting sqref="J54">
    <cfRule type="expression" dxfId="4" priority="15" stopIfTrue="1">
      <formula>$I$54=$K$54</formula>
    </cfRule>
  </conditionalFormatting>
  <conditionalFormatting sqref="G54">
    <cfRule type="expression" dxfId="3" priority="14" stopIfTrue="1">
      <formula>$F$54=$H$54</formula>
    </cfRule>
  </conditionalFormatting>
  <conditionalFormatting sqref="J51">
    <cfRule type="expression" dxfId="2" priority="13" stopIfTrue="1">
      <formula>$I$51=$K$51</formula>
    </cfRule>
  </conditionalFormatting>
  <conditionalFormatting sqref="G51">
    <cfRule type="expression" dxfId="1" priority="12" stopIfTrue="1">
      <formula>$F$51=$H$51</formula>
    </cfRule>
  </conditionalFormatting>
  <conditionalFormatting sqref="AB5:AB7 AE5:AE7 AH5:AH7">
    <cfRule type="expression" dxfId="0" priority="39">
      <formula>($AB$1="Use GATE values")</formula>
    </cfRule>
  </conditionalFormatting>
  <dataValidations xWindow="1303" yWindow="687" count="15">
    <dataValidation type="list" allowBlank="1" showInputMessage="1" showErrorMessage="1" sqref="G46">
      <formula1>"90,95,99"</formula1>
    </dataValidation>
    <dataValidation type="whole" operator="greaterThanOrEqual" allowBlank="1" showInputMessage="1" showErrorMessage="1" errorTitle="Invalid entry" error="Value must be a whole number greater than or equal to 10" promptTitle="Participant population" prompt="Enter total number of participants enrolled in the study." sqref="H12:I12">
      <formula1>10</formula1>
    </dataValidation>
    <dataValidation allowBlank="1" showInputMessage="1" showErrorMessage="1" promptTitle="Target disorder" prompt="Enter brief description of the Target disorder (disease or condition) being investigated (e.g. haemorrhagic or ischaemic stroke)" sqref="D20:F21"/>
    <dataValidation type="whole" allowBlank="1" showInputMessage="1" showErrorMessage="1" errorTitle="Invalid entry" error="Value must be a whole number and can't be greater than the participant population" promptTitle="RS +ve &amp; DT done" prompt="Enter the number who were reference standard positive and had the Diagnostic Test. These numbers are used in calculation of results." sqref="H28">
      <formula1>0</formula1>
      <formula2>pop</formula2>
    </dataValidation>
    <dataValidation type="whole" allowBlank="1" showInputMessage="1" showErrorMessage="1" errorTitle="Invalid entry" error="Value must be a whole number and can't be greater than the participant population" promptTitle=" RS -ve &amp; DT done" prompt="Enter the number who were reference standard negative and had the Diagnostic Test. These numbers are used in calculation of results." sqref="I28">
      <formula1>0</formula1>
      <formula2>pop</formula2>
    </dataValidation>
    <dataValidation allowBlank="1" showInputMessage="1" showErrorMessage="1" promptTitle="Either RS or DT not done" prompt="Enter the number of participants who did not receive both the reference standard and the diagnostic test." sqref="H30:I30"/>
    <dataValidation allowBlank="1" showInputMessage="1" showErrorMessage="1" promptTitle="Diagnostic Test (DT)" prompt="Enter a brief description of the diagnostic test being analysed here." sqref="D37:F38"/>
    <dataValidation type="whole" allowBlank="1" showInputMessage="1" showErrorMessage="1" errorTitle="Invalid entry" error="Value must be a whole number and not greater than the total RS +ve." promptTitle="RS +ve &amp; DT done" prompt="_x000a_Enter the number who had a negative diagnostic test but were RS  +ve (false negative). _x000a__x000a_These numbers are used in calculation of results._x000a__x000a_If cell is left empty it is assumed to be 0 (zero)." sqref="H43">
      <formula1>0</formula1>
      <formula2>egf</formula2>
    </dataValidation>
    <dataValidation type="whole" allowBlank="1" showInputMessage="1" showErrorMessage="1" errorTitle="Invalid entry" error="Value must be a whole number and not greater than the total RS -ve." promptTitle="Test -ve and RS -ve" prompt="Enter the number with negative diagnostic test and RS -ve (true negatives). _x000a__x000a_Enter a whole number.  An error will occur if the number is greater than the total RS -ve._x000a__x000a_If cell is left empty it is assumed to be 0 (zero)." sqref="I43">
      <formula1>0</formula1>
      <formula2>cgf</formula2>
    </dataValidation>
    <dataValidation type="whole" allowBlank="1" showInputMessage="1" showErrorMessage="1" errorTitle="Invalid entry" error="Value must be a whole number and not greater than the total RS +ve." promptTitle="Test +ve and RS +ve" prompt="_x000a_Enter the number with positive diagnostic test and RS +ve (true positives). _x000a__x000a_Enter a whole number.  An error will occur if the number is greater than the total RS +ve._x000a__x000a_If cell is left empty it is assumed to be 0 (zero)." sqref="H40">
      <formula1>0</formula1>
      <formula2>egf</formula2>
    </dataValidation>
    <dataValidation type="whole" allowBlank="1" showInputMessage="1" showErrorMessage="1" errorTitle="Invalid entry" error="Value must be a whole number and not greater than the total RS -ve." promptTitle="Test +ve and RS -ve" prompt="_x000a_Enter the number with positive diagnostic test and RS -ve (false positive). _x000a__x000a_Enter a whole number.  An error will occur if the number is greater than the total RS -ve._x000a__x000a_If cell is left empty it is assumed to be 0 (zero)." sqref="I40">
      <formula1>0</formula1>
      <formula2>cgf</formula2>
    </dataValidation>
    <dataValidation allowBlank="1" showInputMessage="1" showErrorMessage="1" promptTitle="Assess by?" prompt="Who assessed this research report?  Enter initials or own self-identifier. Place for stating full name &amp; contact detalis at top of page 1" sqref="D4:E4"/>
    <dataValidation allowBlank="1" showInputMessage="1" showErrorMessage="1" promptTitle="Assess when?" prompt="When was this research report assessed?_x000a__x000a_Use recognised date format e.g. 3/12/04  for 3Dec04." sqref="H4:I4"/>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allowBlank="1" showInputMessage="1" showErrorMessage="1" promptTitle="Participant subgroup" prompt="Enter here brief description of the Participant group, if participants have been stratified into different groups prior to allocation to E and C (e.g. low and high risk of Target disorder)" sqref="K12:N12"/>
  </dataValidations>
  <hyperlinks>
    <hyperlink ref="Q58" r:id="rId1"/>
  </hyperlinks>
  <pageMargins left="0.7" right="0.7" top="0.75" bottom="0.75" header="0.3" footer="0.3"/>
  <pageSetup scale="79" fitToWidth="2" orientation="portrait"/>
  <headerFooter>
    <oddFooter xml:space="preserve">&amp;L&amp;8&amp;F, &amp;A
&amp;D&amp;R&amp;8Downloadable from  www.epiq.co.nz
Copyright © 2004 Rod Jackson, University of Auckland </oddFooter>
  </headerFooter>
  <colBreaks count="1" manualBreakCount="1">
    <brk id="21" max="57" man="1"/>
  </colBreaks>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Analysis 1</vt:lpstr>
    </vt:vector>
  </TitlesOfParts>
  <Company>The University of Auckland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E Warren</dc:creator>
  <cp:lastModifiedBy>Rod Jackson</cp:lastModifiedBy>
  <cp:lastPrinted>2013-03-05T22:24:28Z</cp:lastPrinted>
  <dcterms:created xsi:type="dcterms:W3CDTF">2011-09-25T22:43:16Z</dcterms:created>
  <dcterms:modified xsi:type="dcterms:W3CDTF">2014-05-13T03:56:37Z</dcterms:modified>
</cp:coreProperties>
</file>